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rapsb.sharepoint.com/sites/Urbanos/Documentos compartidos/General/2021/Acueducto y alcantarillado/Revision Leidy 1-2-2021/"/>
    </mc:Choice>
  </mc:AlternateContent>
  <xr:revisionPtr revIDLastSave="25" documentId="8_{E40B5AD9-4D96-4EAF-AAB7-AEF4023D0AD0}" xr6:coauthVersionLast="46" xr6:coauthVersionMax="46" xr10:uidLastSave="{09C0C333-64CC-4215-BAD9-3C9628D821A2}"/>
  <bookViews>
    <workbookView xWindow="-120" yWindow="-120" windowWidth="29040" windowHeight="15840" activeTab="13" xr2:uid="{00000000-000D-0000-FFFF-FFFF00000000}"/>
  </bookViews>
  <sheets>
    <sheet name="EJEMPLO" sheetId="91" r:id="rId1"/>
    <sheet name="Proy de Suscriptores APS1" sheetId="53" r:id="rId2"/>
    <sheet name="Proy de Suscriptores APS2" sheetId="61" state="hidden" r:id="rId3"/>
    <sheet name="Proy de Suscriptores APS3" sheetId="67" state="hidden" r:id="rId4"/>
    <sheet name="CMA APS1" sheetId="80" state="hidden" r:id="rId5"/>
    <sheet name="CMA APS2" sheetId="81" state="hidden" r:id="rId6"/>
    <sheet name="CMA UNIFICADO" sheetId="65" state="hidden" r:id="rId7"/>
    <sheet name="CCP APS 1" sheetId="79" r:id="rId8"/>
    <sheet name="CCP APS 2" sheetId="83" state="hidden" r:id="rId9"/>
    <sheet name="CCP APS 3" sheetId="84" state="hidden" r:id="rId10"/>
    <sheet name="CMO APS 1" sheetId="59" state="hidden" r:id="rId11"/>
    <sheet name="CMO APS 2" sheetId="64" state="hidden" r:id="rId12"/>
    <sheet name="CMO UNIFICADO" sheetId="71" state="hidden" r:id="rId13"/>
    <sheet name="CMI APS1" sheetId="86" r:id="rId14"/>
    <sheet name="CMI APS2" sheetId="87" state="hidden" r:id="rId15"/>
    <sheet name="CMI APS3" sheetId="90" state="hidden" r:id="rId16"/>
    <sheet name="CMI ACP" sheetId="89" r:id="rId17"/>
  </sheets>
  <externalReferences>
    <externalReference r:id="rId18"/>
    <externalReference r:id="rId19"/>
    <externalReference r:id="rId20"/>
  </externalReferences>
  <definedNames>
    <definedName name="BKJHKJN">#REF!</definedName>
    <definedName name="CBL">'[1]Costos de Referencia'!$C$13</definedName>
    <definedName name="CCS">'[1]Costos de Referencia'!$C$11</definedName>
    <definedName name="CDT">'[1]Costos de Referencia'!$C$31</definedName>
    <definedName name="CDT_p">[2]CDT!$C$3</definedName>
    <definedName name="CMRf">'[1]Costos de Referencia'!$C$15</definedName>
    <definedName name="CMRv">'[1]Costos de Referencia'!$C$44</definedName>
    <definedName name="CRT">'[1]Costos de Referencia'!$C$22</definedName>
    <definedName name="CRT_aislados">'[2]COSTOS AJUSTADOS'!$C$13</definedName>
    <definedName name="CT">'[1]Costos de Referencia'!$C$26</definedName>
    <definedName name="CTE_p">[2]CTE!$C$5</definedName>
    <definedName name="CTEk">'[1]Costos de Referencia'!$C$27</definedName>
    <definedName name="CTEp">'[1]Costos de Referencia'!$C$25</definedName>
    <definedName name="DATOS_ER" localSheetId="8">#REF!</definedName>
    <definedName name="DATOS_ER" localSheetId="9">#REF!</definedName>
    <definedName name="DATOS_ER" localSheetId="4">#REF!</definedName>
    <definedName name="DATOS_ER" localSheetId="5">#REF!</definedName>
    <definedName name="DATOS_ER" localSheetId="14">#REF!</definedName>
    <definedName name="DATOS_ER" localSheetId="15">#REF!</definedName>
    <definedName name="DATOS_ER">#REF!</definedName>
    <definedName name="dk">'[1]Costos de Referencia'!$C$28</definedName>
    <definedName name="empresas">[3]Lista_Empresas!$B$2:$B$47</definedName>
    <definedName name="Excel_BuiltIn_Print_Titles_1" localSheetId="8">#REF!</definedName>
    <definedName name="Excel_BuiltIn_Print_Titles_1" localSheetId="9">#REF!</definedName>
    <definedName name="Excel_BuiltIn_Print_Titles_1" localSheetId="4">#REF!</definedName>
    <definedName name="Excel_BuiltIn_Print_Titles_1" localSheetId="5">#REF!</definedName>
    <definedName name="Excel_BuiltIn_Print_Titles_1" localSheetId="14">#REF!</definedName>
    <definedName name="Excel_BuiltIn_Print_Titles_1" localSheetId="15">#REF!</definedName>
    <definedName name="Excel_BuiltIn_Print_Titles_1">#REF!</definedName>
    <definedName name="Fmerc">'[1]Costos de Referencia'!$C$40</definedName>
    <definedName name="I">#REF!</definedName>
    <definedName name="ID">[3]Modelo!$C$5</definedName>
    <definedName name="ID_ER1" localSheetId="8">#REF!</definedName>
    <definedName name="ID_ER1" localSheetId="9">#REF!</definedName>
    <definedName name="ID_ER1" localSheetId="4">#REF!</definedName>
    <definedName name="ID_ER1" localSheetId="5">#REF!</definedName>
    <definedName name="ID_ER1" localSheetId="14">#REF!</definedName>
    <definedName name="ID_ER1" localSheetId="15">#REF!</definedName>
    <definedName name="ID_ER1">#REF!</definedName>
    <definedName name="ID_ER2" localSheetId="8">#REF!</definedName>
    <definedName name="ID_ER2" localSheetId="9">#REF!</definedName>
    <definedName name="ID_ER2" localSheetId="4">#REF!</definedName>
    <definedName name="ID_ER2" localSheetId="5">#REF!</definedName>
    <definedName name="ID_ER2" localSheetId="14">#REF!</definedName>
    <definedName name="ID_ER2" localSheetId="15">#REF!</definedName>
    <definedName name="ID_ER2">#REF!</definedName>
    <definedName name="ID_ER3" localSheetId="8">#REF!</definedName>
    <definedName name="ID_ER3" localSheetId="9">#REF!</definedName>
    <definedName name="ID_ER3" localSheetId="4">#REF!</definedName>
    <definedName name="ID_ER3" localSheetId="5">#REF!</definedName>
    <definedName name="ID_ER3" localSheetId="14">#REF!</definedName>
    <definedName name="ID_ER3" localSheetId="15">#REF!</definedName>
    <definedName name="ID_ER3">#REF!</definedName>
    <definedName name="ID_ER4" localSheetId="8">#REF!</definedName>
    <definedName name="ID_ER4" localSheetId="9">#REF!</definedName>
    <definedName name="ID_ER4" localSheetId="4">#REF!</definedName>
    <definedName name="ID_ER4" localSheetId="5">#REF!</definedName>
    <definedName name="ID_ER4" localSheetId="14">#REF!</definedName>
    <definedName name="ID_ER4" localSheetId="15">#REF!</definedName>
    <definedName name="ID_ER4">#REF!</definedName>
    <definedName name="K">'[1]Costos de Referencia'!$C$9</definedName>
    <definedName name="LINEA_ER1" localSheetId="8">#REF!</definedName>
    <definedName name="LINEA_ER1" localSheetId="9">#REF!</definedName>
    <definedName name="LINEA_ER1" localSheetId="4">#REF!</definedName>
    <definedName name="LINEA_ER1" localSheetId="5">#REF!</definedName>
    <definedName name="LINEA_ER1" localSheetId="14">#REF!</definedName>
    <definedName name="LINEA_ER1" localSheetId="15">#REF!</definedName>
    <definedName name="LINEA_ER1">#REF!</definedName>
    <definedName name="LINEA_ER2" localSheetId="8">#REF!</definedName>
    <definedName name="LINEA_ER2" localSheetId="9">#REF!</definedName>
    <definedName name="LINEA_ER2" localSheetId="4">#REF!</definedName>
    <definedName name="LINEA_ER2" localSheetId="5">#REF!</definedName>
    <definedName name="LINEA_ER2" localSheetId="14">#REF!</definedName>
    <definedName name="LINEA_ER2" localSheetId="15">#REF!</definedName>
    <definedName name="LINEA_ER2">#REF!</definedName>
    <definedName name="LINEA_ER3" localSheetId="8">#REF!</definedName>
    <definedName name="LINEA_ER3" localSheetId="9">#REF!</definedName>
    <definedName name="LINEA_ER3" localSheetId="4">#REF!</definedName>
    <definedName name="LINEA_ER3" localSheetId="5">#REF!</definedName>
    <definedName name="LINEA_ER3" localSheetId="14">#REF!</definedName>
    <definedName name="LINEA_ER3" localSheetId="15">#REF!</definedName>
    <definedName name="LINEA_ER3">#REF!</definedName>
    <definedName name="LINEA_ER4" localSheetId="8">#REF!</definedName>
    <definedName name="LINEA_ER4" localSheetId="9">#REF!</definedName>
    <definedName name="LINEA_ER4" localSheetId="4">#REF!</definedName>
    <definedName name="LINEA_ER4" localSheetId="5">#REF!</definedName>
    <definedName name="LINEA_ER4" localSheetId="14">#REF!</definedName>
    <definedName name="LINEA_ER4" localSheetId="15">#REF!</definedName>
    <definedName name="LINEA_ER4">#REF!</definedName>
    <definedName name="LJ" localSheetId="8">#REF!</definedName>
    <definedName name="LJ" localSheetId="9">#REF!</definedName>
    <definedName name="LJ" localSheetId="4">#REF!</definedName>
    <definedName name="LJ" localSheetId="5">#REF!</definedName>
    <definedName name="LJ" localSheetId="14">#REF!</definedName>
    <definedName name="LJ" localSheetId="15">#REF!</definedName>
    <definedName name="LJ">#REF!</definedName>
    <definedName name="Macro1" localSheetId="8">#REF!</definedName>
    <definedName name="Macro1" localSheetId="9">#REF!</definedName>
    <definedName name="Macro1" localSheetId="4">#REF!</definedName>
    <definedName name="Macro1" localSheetId="5">#REF!</definedName>
    <definedName name="Macro1" localSheetId="14">#REF!</definedName>
    <definedName name="Macro1" localSheetId="15">#REF!</definedName>
    <definedName name="Macro1">#REF!</definedName>
    <definedName name="Macro2" localSheetId="8">#REF!</definedName>
    <definedName name="Macro2" localSheetId="9">#REF!</definedName>
    <definedName name="Macro2" localSheetId="4">#REF!</definedName>
    <definedName name="Macro2" localSheetId="5">#REF!</definedName>
    <definedName name="Macro2" localSheetId="14">#REF!</definedName>
    <definedName name="Macro2" localSheetId="15">#REF!</definedName>
    <definedName name="Macro2">#REF!</definedName>
    <definedName name="Macro3" localSheetId="8">#REF!</definedName>
    <definedName name="Macro3" localSheetId="9">#REF!</definedName>
    <definedName name="Macro3" localSheetId="4">#REF!</definedName>
    <definedName name="Macro3" localSheetId="5">#REF!</definedName>
    <definedName name="Macro3" localSheetId="14">#REF!</definedName>
    <definedName name="Macro3" localSheetId="15">#REF!</definedName>
    <definedName name="Macro3">#REF!</definedName>
    <definedName name="Macro4" localSheetId="8">#REF!</definedName>
    <definedName name="Macro4" localSheetId="9">#REF!</definedName>
    <definedName name="Macro4" localSheetId="4">#REF!</definedName>
    <definedName name="Macro4" localSheetId="5">#REF!</definedName>
    <definedName name="Macro4" localSheetId="14">#REF!</definedName>
    <definedName name="Macro4" localSheetId="15">#REF!</definedName>
    <definedName name="Macro4">#REF!</definedName>
    <definedName name="Macro5" localSheetId="8">#REF!</definedName>
    <definedName name="Macro5" localSheetId="9">#REF!</definedName>
    <definedName name="Macro5" localSheetId="4">#REF!</definedName>
    <definedName name="Macro5" localSheetId="5">#REF!</definedName>
    <definedName name="Macro5" localSheetId="14">#REF!</definedName>
    <definedName name="Macro5" localSheetId="15">#REF!</definedName>
    <definedName name="Macro5">#REF!</definedName>
    <definedName name="Macro6" localSheetId="8">#REF!</definedName>
    <definedName name="Macro6" localSheetId="9">#REF!</definedName>
    <definedName name="Macro6" localSheetId="4">#REF!</definedName>
    <definedName name="Macro6" localSheetId="5">#REF!</definedName>
    <definedName name="Macro6" localSheetId="14">#REF!</definedName>
    <definedName name="Macro6" localSheetId="15">#REF!</definedName>
    <definedName name="Macro6">#REF!</definedName>
    <definedName name="Macro7" localSheetId="8">#REF!</definedName>
    <definedName name="Macro7" localSheetId="9">#REF!</definedName>
    <definedName name="Macro7" localSheetId="4">#REF!</definedName>
    <definedName name="Macro7" localSheetId="5">#REF!</definedName>
    <definedName name="Macro7" localSheetId="14">#REF!</definedName>
    <definedName name="Macro7" localSheetId="15">#REF!</definedName>
    <definedName name="Macro7">#REF!</definedName>
    <definedName name="N">'[1]Información General'!$G$146</definedName>
    <definedName name="NB">'[1]Costos de Referencia'!$C$7</definedName>
    <definedName name="OLE_LINK4_1" localSheetId="8">#REF!</definedName>
    <definedName name="OLE_LINK4_1" localSheetId="9">#REF!</definedName>
    <definedName name="OLE_LINK4_1" localSheetId="4">#REF!</definedName>
    <definedName name="OLE_LINK4_1" localSheetId="5">#REF!</definedName>
    <definedName name="OLE_LINK4_1" localSheetId="14">#REF!</definedName>
    <definedName name="OLE_LINK4_1" localSheetId="15">#REF!</definedName>
    <definedName name="OLE_LINK4_1">#REF!</definedName>
    <definedName name="Qb">'[1]Información General'!$E$146</definedName>
    <definedName name="Recover" localSheetId="8">#REF!</definedName>
    <definedName name="Recover" localSheetId="9">#REF!</definedName>
    <definedName name="Recover" localSheetId="4">#REF!</definedName>
    <definedName name="Recover" localSheetId="5">#REF!</definedName>
    <definedName name="Recover" localSheetId="14">#REF!</definedName>
    <definedName name="Recover" localSheetId="15">#REF!</definedName>
    <definedName name="Recover">#REF!</definedName>
    <definedName name="TableName">"Dummy"</definedName>
    <definedName name="TAj">'[1]Costos de Referencia'!$C$41</definedName>
    <definedName name="THTRH" localSheetId="14">#REF!</definedName>
    <definedName name="THTRH" localSheetId="15">#REF!</definedName>
    <definedName name="THTRH">#REF!</definedName>
    <definedName name="Tj">'[1]Costos de Referencia'!$C$38</definedName>
    <definedName name="Trecep">'[1]Costos de Referencia'!$C$39</definedName>
    <definedName name="VPcrt">'[1]Costos de Referencia'!$C$23</definedName>
    <definedName name="VPTE">'[1]Costos de Referencia'!$C$29</definedName>
    <definedName name="YENN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86" l="1"/>
  <c r="G15" i="89" l="1"/>
  <c r="G14" i="89"/>
  <c r="G13" i="89" l="1"/>
  <c r="G12" i="89"/>
  <c r="F13" i="89"/>
  <c r="F14" i="89"/>
  <c r="B14" i="89" s="1"/>
  <c r="F15" i="89"/>
  <c r="B15" i="89" s="1"/>
  <c r="F12" i="89"/>
  <c r="D12" i="89" l="1"/>
  <c r="B12" i="89" s="1"/>
  <c r="G146" i="89"/>
  <c r="B57" i="89" l="1"/>
  <c r="K92" i="89"/>
  <c r="L92" i="89" s="1"/>
  <c r="B91" i="89" s="1"/>
  <c r="G25" i="71" l="1"/>
  <c r="G16" i="71"/>
  <c r="E10" i="81" l="1"/>
  <c r="F3" i="80"/>
  <c r="E25" i="67"/>
  <c r="E34" i="67" s="1"/>
  <c r="F25" i="67"/>
  <c r="F34" i="67" s="1"/>
  <c r="G25" i="67"/>
  <c r="G34" i="67" s="1"/>
  <c r="H25" i="67"/>
  <c r="H34" i="67" s="1"/>
  <c r="I25" i="67"/>
  <c r="I34" i="67" s="1"/>
  <c r="J25" i="67"/>
  <c r="J34" i="67" s="1"/>
  <c r="K25" i="67"/>
  <c r="K34" i="67" s="1"/>
  <c r="L25" i="67"/>
  <c r="L34" i="67" s="1"/>
  <c r="M25" i="67"/>
  <c r="M34" i="67" s="1"/>
  <c r="D25" i="67"/>
  <c r="D34" i="67" s="1"/>
  <c r="B57" i="90" l="1"/>
  <c r="F52" i="90" s="1"/>
  <c r="C87" i="90" s="1"/>
  <c r="B39" i="90"/>
  <c r="B38" i="90"/>
  <c r="B24" i="90"/>
  <c r="B23" i="90"/>
  <c r="B22" i="90"/>
  <c r="B21" i="90"/>
  <c r="B20" i="90"/>
  <c r="B19" i="90"/>
  <c r="Q25" i="90"/>
  <c r="P25" i="90"/>
  <c r="O25" i="90"/>
  <c r="B133" i="90"/>
  <c r="C159" i="90" s="1"/>
  <c r="B132" i="90"/>
  <c r="C158" i="90" s="1"/>
  <c r="B131" i="90"/>
  <c r="C157" i="90" s="1"/>
  <c r="B130" i="90"/>
  <c r="C130" i="90" s="1"/>
  <c r="G93" i="90"/>
  <c r="G92" i="90"/>
  <c r="G91" i="90"/>
  <c r="G90" i="90"/>
  <c r="G89" i="90"/>
  <c r="G87" i="90"/>
  <c r="G86" i="90"/>
  <c r="G85" i="90"/>
  <c r="G84" i="90"/>
  <c r="G83" i="90"/>
  <c r="G82" i="90"/>
  <c r="G81" i="90"/>
  <c r="G80" i="90"/>
  <c r="L70" i="90"/>
  <c r="K70" i="90"/>
  <c r="J70" i="90"/>
  <c r="I70" i="90"/>
  <c r="H70" i="90"/>
  <c r="G70" i="90"/>
  <c r="F70" i="90"/>
  <c r="E70" i="90"/>
  <c r="D70" i="90"/>
  <c r="C70" i="90"/>
  <c r="B69" i="90"/>
  <c r="C93" i="90" s="1"/>
  <c r="B68" i="90"/>
  <c r="C92" i="90" s="1"/>
  <c r="H92" i="90" s="1"/>
  <c r="G111" i="90" s="1"/>
  <c r="H111" i="90" s="1"/>
  <c r="I111" i="90" s="1"/>
  <c r="J111" i="90" s="1"/>
  <c r="K111" i="90" s="1"/>
  <c r="B67" i="90"/>
  <c r="C91" i="90" s="1"/>
  <c r="B66" i="90"/>
  <c r="C90" i="90" s="1"/>
  <c r="C55" i="90"/>
  <c r="N25" i="90"/>
  <c r="M25" i="90"/>
  <c r="L25" i="90"/>
  <c r="K25" i="90"/>
  <c r="J25" i="90"/>
  <c r="I25" i="90"/>
  <c r="H25" i="90"/>
  <c r="G25" i="90"/>
  <c r="F25" i="90"/>
  <c r="E25" i="90"/>
  <c r="D25" i="90"/>
  <c r="C25" i="90"/>
  <c r="C17" i="90"/>
  <c r="D17" i="90" s="1"/>
  <c r="E17" i="90" s="1"/>
  <c r="F17" i="90" s="1"/>
  <c r="G17" i="90" s="1"/>
  <c r="H17" i="90" s="1"/>
  <c r="I17" i="90" s="1"/>
  <c r="J17" i="90" s="1"/>
  <c r="K17" i="90" s="1"/>
  <c r="L17" i="90" s="1"/>
  <c r="M17" i="90" s="1"/>
  <c r="N17" i="90" s="1"/>
  <c r="O17" i="90" s="1"/>
  <c r="P17" i="90" s="1"/>
  <c r="Q17" i="90" s="1"/>
  <c r="R17" i="90" s="1"/>
  <c r="S17" i="90" s="1"/>
  <c r="T17" i="90" s="1"/>
  <c r="U17" i="90" s="1"/>
  <c r="V17" i="90" s="1"/>
  <c r="W17" i="90" s="1"/>
  <c r="X17" i="90" s="1"/>
  <c r="Y17" i="90" s="1"/>
  <c r="Z17" i="90" s="1"/>
  <c r="AA17" i="90" s="1"/>
  <c r="AB17" i="90" s="1"/>
  <c r="AC17" i="90" s="1"/>
  <c r="AD17" i="90" s="1"/>
  <c r="AE17" i="90" s="1"/>
  <c r="AF17" i="90" s="1"/>
  <c r="C13" i="90"/>
  <c r="D13" i="90" s="1"/>
  <c r="E13" i="90" s="1"/>
  <c r="F13" i="90" s="1"/>
  <c r="G13" i="90" s="1"/>
  <c r="H13" i="90" s="1"/>
  <c r="I13" i="90" s="1"/>
  <c r="J13" i="90" s="1"/>
  <c r="K13" i="90" s="1"/>
  <c r="L13" i="90" s="1"/>
  <c r="M13" i="90" s="1"/>
  <c r="N13" i="90" s="1"/>
  <c r="O13" i="90" s="1"/>
  <c r="P13" i="90" s="1"/>
  <c r="Q13" i="90" s="1"/>
  <c r="R13" i="90" s="1"/>
  <c r="S13" i="90" s="1"/>
  <c r="T13" i="90" s="1"/>
  <c r="U13" i="90" s="1"/>
  <c r="V13" i="90" s="1"/>
  <c r="W13" i="90" s="1"/>
  <c r="X13" i="90" s="1"/>
  <c r="Y13" i="90" s="1"/>
  <c r="Z13" i="90" s="1"/>
  <c r="AA13" i="90" s="1"/>
  <c r="AB13" i="90" s="1"/>
  <c r="AC13" i="90" s="1"/>
  <c r="AD13" i="90" s="1"/>
  <c r="AE13" i="90" s="1"/>
  <c r="AF13" i="90" s="1"/>
  <c r="B10" i="90"/>
  <c r="C28" i="90" s="1"/>
  <c r="C132" i="90" l="1"/>
  <c r="F53" i="90"/>
  <c r="C88" i="90" s="1"/>
  <c r="B154" i="90" s="1"/>
  <c r="C154" i="90" s="1"/>
  <c r="D154" i="90" s="1"/>
  <c r="E154" i="90" s="1"/>
  <c r="F154" i="90" s="1"/>
  <c r="G154" i="90" s="1"/>
  <c r="H154" i="90" s="1"/>
  <c r="I154" i="90" s="1"/>
  <c r="J154" i="90" s="1"/>
  <c r="K154" i="90" s="1"/>
  <c r="L154" i="90" s="1"/>
  <c r="B70" i="90"/>
  <c r="F54" i="90"/>
  <c r="C89" i="90" s="1"/>
  <c r="H89" i="90" s="1"/>
  <c r="B108" i="90" s="1"/>
  <c r="F51" i="90"/>
  <c r="C86" i="90" s="1"/>
  <c r="B152" i="90" s="1"/>
  <c r="D28" i="90"/>
  <c r="E28" i="90" s="1"/>
  <c r="H90" i="90"/>
  <c r="D109" i="90" s="1"/>
  <c r="E109" i="90" s="1"/>
  <c r="F109" i="90" s="1"/>
  <c r="G109" i="90" s="1"/>
  <c r="H109" i="90" s="1"/>
  <c r="I109" i="90" s="1"/>
  <c r="J109" i="90" s="1"/>
  <c r="K109" i="90" s="1"/>
  <c r="H91" i="90"/>
  <c r="E110" i="90" s="1"/>
  <c r="F110" i="90" s="1"/>
  <c r="G110" i="90" s="1"/>
  <c r="H110" i="90" s="1"/>
  <c r="I110" i="90" s="1"/>
  <c r="J110" i="90" s="1"/>
  <c r="K110" i="90" s="1"/>
  <c r="B25" i="90"/>
  <c r="B153" i="90"/>
  <c r="H87" i="90"/>
  <c r="B107" i="90" s="1"/>
  <c r="H93" i="90"/>
  <c r="G112" i="90" s="1"/>
  <c r="H112" i="90" s="1"/>
  <c r="I112" i="90" s="1"/>
  <c r="J112" i="90" s="1"/>
  <c r="K112" i="90" s="1"/>
  <c r="D158" i="90"/>
  <c r="D132" i="90"/>
  <c r="C131" i="90"/>
  <c r="C133" i="90"/>
  <c r="B159" i="89"/>
  <c r="A225" i="89" s="1"/>
  <c r="B158" i="89"/>
  <c r="A224" i="89" s="1"/>
  <c r="B147" i="89"/>
  <c r="A213" i="89" s="1"/>
  <c r="B148" i="89"/>
  <c r="A214" i="89" s="1"/>
  <c r="B149" i="89"/>
  <c r="A215" i="89" s="1"/>
  <c r="B150" i="89"/>
  <c r="A216" i="89" s="1"/>
  <c r="B151" i="89"/>
  <c r="A217" i="89" s="1"/>
  <c r="B152" i="89"/>
  <c r="A218" i="89" s="1"/>
  <c r="B153" i="89"/>
  <c r="A219" i="89" s="1"/>
  <c r="B154" i="89"/>
  <c r="A220" i="89" s="1"/>
  <c r="B155" i="89"/>
  <c r="A221" i="89" s="1"/>
  <c r="B156" i="89"/>
  <c r="A222" i="89" s="1"/>
  <c r="B157" i="89"/>
  <c r="A223" i="89" s="1"/>
  <c r="B146" i="89"/>
  <c r="A212" i="89" s="1"/>
  <c r="G159" i="89"/>
  <c r="G158" i="89"/>
  <c r="G157" i="89"/>
  <c r="G156" i="89"/>
  <c r="G155" i="89"/>
  <c r="G153" i="89"/>
  <c r="G152" i="89"/>
  <c r="G151" i="89"/>
  <c r="G150" i="89"/>
  <c r="G149" i="89"/>
  <c r="G148" i="89"/>
  <c r="G147" i="89"/>
  <c r="C138" i="89"/>
  <c r="E138" i="89"/>
  <c r="F138" i="89"/>
  <c r="G138" i="89"/>
  <c r="H138" i="89"/>
  <c r="L138" i="89"/>
  <c r="K138" i="89"/>
  <c r="J138" i="89"/>
  <c r="I138" i="89"/>
  <c r="D138" i="89"/>
  <c r="B137" i="89"/>
  <c r="C159" i="89" s="1"/>
  <c r="B136" i="89"/>
  <c r="C158" i="89" s="1"/>
  <c r="H72" i="89"/>
  <c r="I72" i="89"/>
  <c r="J72" i="89"/>
  <c r="K72" i="89"/>
  <c r="L72" i="89"/>
  <c r="C63" i="89"/>
  <c r="D63" i="89"/>
  <c r="B38" i="89"/>
  <c r="C62" i="89" s="1"/>
  <c r="G29" i="89"/>
  <c r="G28" i="89"/>
  <c r="G27" i="89"/>
  <c r="G26" i="89"/>
  <c r="E13" i="89"/>
  <c r="D16" i="89"/>
  <c r="L16" i="89"/>
  <c r="K16" i="89"/>
  <c r="J16" i="89"/>
  <c r="I16" i="89"/>
  <c r="H16" i="89"/>
  <c r="G16" i="89"/>
  <c r="F16" i="89"/>
  <c r="C16" i="89"/>
  <c r="B133" i="87"/>
  <c r="C133" i="87" s="1"/>
  <c r="D133" i="87" s="1"/>
  <c r="B132" i="87"/>
  <c r="C158" i="87" s="1"/>
  <c r="B131" i="87"/>
  <c r="C131" i="87" s="1"/>
  <c r="D131" i="87" s="1"/>
  <c r="E157" i="87" s="1"/>
  <c r="B130" i="87"/>
  <c r="G93" i="87"/>
  <c r="G92" i="87"/>
  <c r="G91" i="87"/>
  <c r="G90" i="87"/>
  <c r="G89" i="87"/>
  <c r="G87" i="87"/>
  <c r="G86" i="87"/>
  <c r="G85" i="87"/>
  <c r="G84" i="87"/>
  <c r="G83" i="87"/>
  <c r="G82" i="87"/>
  <c r="G81" i="87"/>
  <c r="G80" i="87"/>
  <c r="L70" i="87"/>
  <c r="K70" i="87"/>
  <c r="J70" i="87"/>
  <c r="I70" i="87"/>
  <c r="H70" i="87"/>
  <c r="G70" i="87"/>
  <c r="F70" i="87"/>
  <c r="E70" i="87"/>
  <c r="D70" i="87"/>
  <c r="C70" i="87"/>
  <c r="B69" i="87"/>
  <c r="B68" i="87"/>
  <c r="B67" i="87"/>
  <c r="B66" i="87"/>
  <c r="C55" i="87"/>
  <c r="F54" i="87"/>
  <c r="C89" i="87" s="1"/>
  <c r="F53" i="87"/>
  <c r="C88" i="87" s="1"/>
  <c r="B154" i="87" s="1"/>
  <c r="C154" i="87" s="1"/>
  <c r="D154" i="87" s="1"/>
  <c r="E154" i="87" s="1"/>
  <c r="F52" i="87"/>
  <c r="C87" i="87" s="1"/>
  <c r="F51" i="87"/>
  <c r="C86" i="87" s="1"/>
  <c r="B152" i="87" s="1"/>
  <c r="B39" i="87"/>
  <c r="B38" i="87"/>
  <c r="N25" i="87"/>
  <c r="M25" i="87"/>
  <c r="L25" i="87"/>
  <c r="K25" i="87"/>
  <c r="J25" i="87"/>
  <c r="I25" i="87"/>
  <c r="H25" i="87"/>
  <c r="G25" i="87"/>
  <c r="F25" i="87"/>
  <c r="E25" i="87"/>
  <c r="D25" i="87"/>
  <c r="C25" i="87"/>
  <c r="B24" i="87"/>
  <c r="B23" i="87"/>
  <c r="B22" i="87"/>
  <c r="B21" i="87"/>
  <c r="B20" i="87"/>
  <c r="B19" i="87"/>
  <c r="C17" i="87"/>
  <c r="D17" i="87" s="1"/>
  <c r="E17" i="87" s="1"/>
  <c r="F17" i="87" s="1"/>
  <c r="G17" i="87" s="1"/>
  <c r="H17" i="87" s="1"/>
  <c r="I17" i="87" s="1"/>
  <c r="J17" i="87" s="1"/>
  <c r="K17" i="87" s="1"/>
  <c r="L17" i="87" s="1"/>
  <c r="M17" i="87" s="1"/>
  <c r="N17" i="87" s="1"/>
  <c r="O17" i="87" s="1"/>
  <c r="P17" i="87" s="1"/>
  <c r="Q17" i="87" s="1"/>
  <c r="R17" i="87" s="1"/>
  <c r="S17" i="87" s="1"/>
  <c r="T17" i="87" s="1"/>
  <c r="U17" i="87" s="1"/>
  <c r="V17" i="87" s="1"/>
  <c r="W17" i="87" s="1"/>
  <c r="X17" i="87" s="1"/>
  <c r="Y17" i="87" s="1"/>
  <c r="Z17" i="87" s="1"/>
  <c r="AA17" i="87" s="1"/>
  <c r="AB17" i="87" s="1"/>
  <c r="AC17" i="87" s="1"/>
  <c r="AD17" i="87" s="1"/>
  <c r="AE17" i="87" s="1"/>
  <c r="AF17" i="87" s="1"/>
  <c r="C13" i="87"/>
  <c r="D13" i="87" s="1"/>
  <c r="E13" i="87" s="1"/>
  <c r="F13" i="87" s="1"/>
  <c r="G13" i="87" s="1"/>
  <c r="H13" i="87" s="1"/>
  <c r="I13" i="87" s="1"/>
  <c r="J13" i="87" s="1"/>
  <c r="K13" i="87" s="1"/>
  <c r="L13" i="87" s="1"/>
  <c r="M13" i="87" s="1"/>
  <c r="N13" i="87" s="1"/>
  <c r="O13" i="87" s="1"/>
  <c r="P13" i="87" s="1"/>
  <c r="Q13" i="87" s="1"/>
  <c r="R13" i="87" s="1"/>
  <c r="S13" i="87" s="1"/>
  <c r="T13" i="87" s="1"/>
  <c r="U13" i="87" s="1"/>
  <c r="V13" i="87" s="1"/>
  <c r="W13" i="87" s="1"/>
  <c r="X13" i="87" s="1"/>
  <c r="Y13" i="87" s="1"/>
  <c r="Z13" i="87" s="1"/>
  <c r="AA13" i="87" s="1"/>
  <c r="AB13" i="87" s="1"/>
  <c r="AC13" i="87" s="1"/>
  <c r="AD13" i="87" s="1"/>
  <c r="AE13" i="87" s="1"/>
  <c r="AF13" i="87" s="1"/>
  <c r="B10" i="87"/>
  <c r="C28" i="87" s="1"/>
  <c r="D28" i="87" s="1"/>
  <c r="E28" i="87" s="1"/>
  <c r="E29" i="87" s="1"/>
  <c r="G83" i="86"/>
  <c r="G84" i="86"/>
  <c r="G85" i="86"/>
  <c r="G86" i="86"/>
  <c r="G87" i="86"/>
  <c r="G88" i="86"/>
  <c r="G90" i="86"/>
  <c r="G91" i="86"/>
  <c r="G92" i="86"/>
  <c r="G93" i="86"/>
  <c r="G94" i="86"/>
  <c r="G82" i="86"/>
  <c r="G81" i="86"/>
  <c r="B68" i="86"/>
  <c r="C92" i="86" s="1"/>
  <c r="B69" i="86"/>
  <c r="C93" i="86" s="1"/>
  <c r="G159" i="86" s="1"/>
  <c r="B70" i="86"/>
  <c r="C94" i="86" s="1"/>
  <c r="G160" i="86" s="1"/>
  <c r="B67" i="86"/>
  <c r="C91" i="86" s="1"/>
  <c r="D71" i="86"/>
  <c r="E71" i="86"/>
  <c r="F71" i="86"/>
  <c r="G71" i="86"/>
  <c r="H71" i="86"/>
  <c r="I71" i="86"/>
  <c r="J71" i="86"/>
  <c r="K71" i="86"/>
  <c r="L71" i="86"/>
  <c r="C71" i="86"/>
  <c r="C56" i="86"/>
  <c r="F53" i="86"/>
  <c r="C88" i="86" s="1"/>
  <c r="B154" i="86" s="1"/>
  <c r="F54" i="86"/>
  <c r="C89" i="86" s="1"/>
  <c r="B155" i="86" s="1"/>
  <c r="C155" i="86" s="1"/>
  <c r="D155" i="86" s="1"/>
  <c r="E155" i="86" s="1"/>
  <c r="F155" i="86" s="1"/>
  <c r="G155" i="86" s="1"/>
  <c r="F55" i="86"/>
  <c r="C90" i="86" s="1"/>
  <c r="B156" i="86" s="1"/>
  <c r="F52" i="86"/>
  <c r="C87" i="86" s="1"/>
  <c r="B10" i="86"/>
  <c r="C26" i="89" l="1"/>
  <c r="D157" i="86"/>
  <c r="C27" i="89"/>
  <c r="E158" i="86"/>
  <c r="H155" i="86"/>
  <c r="I155" i="86" s="1"/>
  <c r="J155" i="86" s="1"/>
  <c r="K155" i="86" s="1"/>
  <c r="L155" i="86" s="1"/>
  <c r="B109" i="89"/>
  <c r="B127" i="89" s="1"/>
  <c r="H26" i="89"/>
  <c r="B155" i="90"/>
  <c r="B13" i="89"/>
  <c r="B16" i="89" s="1"/>
  <c r="C132" i="87"/>
  <c r="D158" i="87" s="1"/>
  <c r="D157" i="87"/>
  <c r="C159" i="87"/>
  <c r="F154" i="87"/>
  <c r="G154" i="87" s="1"/>
  <c r="H154" i="87" s="1"/>
  <c r="I154" i="87" s="1"/>
  <c r="J154" i="87" s="1"/>
  <c r="K154" i="87" s="1"/>
  <c r="L154" i="87" s="1"/>
  <c r="F55" i="90"/>
  <c r="H86" i="90"/>
  <c r="B106" i="90" s="1"/>
  <c r="B127" i="90" s="1"/>
  <c r="C152" i="90" s="1"/>
  <c r="D130" i="90"/>
  <c r="E130" i="90" s="1"/>
  <c r="F130" i="90" s="1"/>
  <c r="G130" i="90" s="1"/>
  <c r="H130" i="90" s="1"/>
  <c r="I130" i="90" s="1"/>
  <c r="J130" i="90" s="1"/>
  <c r="K130" i="90" s="1"/>
  <c r="L156" i="90" s="1"/>
  <c r="J156" i="90"/>
  <c r="C93" i="87"/>
  <c r="C92" i="87"/>
  <c r="H92" i="87" s="1"/>
  <c r="C91" i="87"/>
  <c r="H91" i="87" s="1"/>
  <c r="E110" i="87" s="1"/>
  <c r="C90" i="87"/>
  <c r="H90" i="87" s="1"/>
  <c r="D109" i="87" s="1"/>
  <c r="C29" i="89"/>
  <c r="C28" i="89"/>
  <c r="B26" i="90"/>
  <c r="B32" i="90" s="1"/>
  <c r="B35" i="90"/>
  <c r="D159" i="90"/>
  <c r="D133" i="90"/>
  <c r="B129" i="90"/>
  <c r="C155" i="90" s="1"/>
  <c r="C108" i="90"/>
  <c r="D108" i="90" s="1"/>
  <c r="E108" i="90" s="1"/>
  <c r="F108" i="90" s="1"/>
  <c r="G108" i="90" s="1"/>
  <c r="H108" i="90" s="1"/>
  <c r="I108" i="90" s="1"/>
  <c r="J108" i="90" s="1"/>
  <c r="K108" i="90" s="1"/>
  <c r="E158" i="90"/>
  <c r="E132" i="90"/>
  <c r="D131" i="90"/>
  <c r="D157" i="90"/>
  <c r="B128" i="90"/>
  <c r="C153" i="90" s="1"/>
  <c r="C107" i="90"/>
  <c r="D107" i="90" s="1"/>
  <c r="E107" i="90" s="1"/>
  <c r="F107" i="90" s="1"/>
  <c r="G107" i="90" s="1"/>
  <c r="H107" i="90" s="1"/>
  <c r="I107" i="90" s="1"/>
  <c r="J107" i="90" s="1"/>
  <c r="K107" i="90" s="1"/>
  <c r="K156" i="90"/>
  <c r="E29" i="90"/>
  <c r="F28" i="90"/>
  <c r="H87" i="86"/>
  <c r="B107" i="86" s="1"/>
  <c r="C107" i="86" s="1"/>
  <c r="D107" i="86" s="1"/>
  <c r="E107" i="86" s="1"/>
  <c r="F107" i="86" s="1"/>
  <c r="G107" i="86" s="1"/>
  <c r="H107" i="86" s="1"/>
  <c r="I107" i="86" s="1"/>
  <c r="J107" i="86" s="1"/>
  <c r="K107" i="86" s="1"/>
  <c r="H159" i="89"/>
  <c r="D178" i="89" s="1"/>
  <c r="H158" i="89"/>
  <c r="D177" i="89" s="1"/>
  <c r="B138" i="89"/>
  <c r="C64" i="89"/>
  <c r="B47" i="89"/>
  <c r="E16" i="89"/>
  <c r="B70" i="87"/>
  <c r="B155" i="87"/>
  <c r="H89" i="87"/>
  <c r="B108" i="87" s="1"/>
  <c r="F28" i="87"/>
  <c r="B153" i="87"/>
  <c r="H87" i="87"/>
  <c r="B107" i="87" s="1"/>
  <c r="B25" i="87"/>
  <c r="D132" i="87"/>
  <c r="F55" i="87"/>
  <c r="H86" i="87"/>
  <c r="B106" i="87" s="1"/>
  <c r="E159" i="87"/>
  <c r="E133" i="87"/>
  <c r="D159" i="87"/>
  <c r="C157" i="87"/>
  <c r="B153" i="86"/>
  <c r="H90" i="86"/>
  <c r="B109" i="86" s="1"/>
  <c r="H91" i="86"/>
  <c r="D110" i="86" s="1"/>
  <c r="B71" i="86"/>
  <c r="H94" i="86"/>
  <c r="G113" i="86" s="1"/>
  <c r="H93" i="86"/>
  <c r="G112" i="86" s="1"/>
  <c r="H88" i="86"/>
  <c r="B108" i="86" s="1"/>
  <c r="H92" i="86"/>
  <c r="E111" i="86" s="1"/>
  <c r="F56" i="86"/>
  <c r="G156" i="90" l="1"/>
  <c r="H28" i="89"/>
  <c r="G36" i="89" s="1"/>
  <c r="H36" i="89" s="1"/>
  <c r="H29" i="89"/>
  <c r="G37" i="89" s="1"/>
  <c r="H37" i="89" s="1"/>
  <c r="I37" i="89" s="1"/>
  <c r="J37" i="89" s="1"/>
  <c r="K37" i="89" s="1"/>
  <c r="C106" i="90"/>
  <c r="D106" i="90" s="1"/>
  <c r="E106" i="90" s="1"/>
  <c r="F106" i="90" s="1"/>
  <c r="G106" i="90" s="1"/>
  <c r="H106" i="90" s="1"/>
  <c r="I106" i="90" s="1"/>
  <c r="J106" i="90" s="1"/>
  <c r="K106" i="90" s="1"/>
  <c r="C154" i="89"/>
  <c r="B220" i="89" s="1"/>
  <c r="C220" i="89" s="1"/>
  <c r="D220" i="89" s="1"/>
  <c r="E220" i="89" s="1"/>
  <c r="F220" i="89" s="1"/>
  <c r="G220" i="89" s="1"/>
  <c r="H220" i="89" s="1"/>
  <c r="I220" i="89" s="1"/>
  <c r="J220" i="89" s="1"/>
  <c r="K220" i="89" s="1"/>
  <c r="L220" i="89" s="1"/>
  <c r="F156" i="90"/>
  <c r="H156" i="90"/>
  <c r="I156" i="90"/>
  <c r="E156" i="90"/>
  <c r="H93" i="87"/>
  <c r="G111" i="87"/>
  <c r="H111" i="87" s="1"/>
  <c r="I111" i="87" s="1"/>
  <c r="J111" i="87" s="1"/>
  <c r="K111" i="87" s="1"/>
  <c r="F46" i="89"/>
  <c r="E157" i="90"/>
  <c r="E131" i="90"/>
  <c r="E133" i="90"/>
  <c r="E159" i="90"/>
  <c r="G28" i="90"/>
  <c r="F29" i="90"/>
  <c r="F132" i="90"/>
  <c r="G132" i="90" s="1"/>
  <c r="F158" i="90"/>
  <c r="C128" i="90"/>
  <c r="C129" i="90"/>
  <c r="B128" i="86"/>
  <c r="C128" i="86" s="1"/>
  <c r="D128" i="86" s="1"/>
  <c r="E128" i="86" s="1"/>
  <c r="F128" i="86" s="1"/>
  <c r="G128" i="86" s="1"/>
  <c r="H128" i="86" s="1"/>
  <c r="I128" i="86" s="1"/>
  <c r="J128" i="86" s="1"/>
  <c r="K128" i="86" s="1"/>
  <c r="L153" i="86" s="1"/>
  <c r="C199" i="89"/>
  <c r="E178" i="89"/>
  <c r="F178" i="89" s="1"/>
  <c r="G178" i="89" s="1"/>
  <c r="H178" i="89" s="1"/>
  <c r="I178" i="89" s="1"/>
  <c r="J178" i="89" s="1"/>
  <c r="K178" i="89" s="1"/>
  <c r="E177" i="89"/>
  <c r="F177" i="89" s="1"/>
  <c r="G177" i="89" s="1"/>
  <c r="H177" i="89" s="1"/>
  <c r="I177" i="89" s="1"/>
  <c r="J177" i="89" s="1"/>
  <c r="K177" i="89" s="1"/>
  <c r="C198" i="89"/>
  <c r="H27" i="89"/>
  <c r="F45" i="89"/>
  <c r="C43" i="89"/>
  <c r="C106" i="87"/>
  <c r="D106" i="87" s="1"/>
  <c r="E106" i="87" s="1"/>
  <c r="F106" i="87" s="1"/>
  <c r="G106" i="87" s="1"/>
  <c r="H106" i="87" s="1"/>
  <c r="I106" i="87" s="1"/>
  <c r="J106" i="87" s="1"/>
  <c r="K106" i="87" s="1"/>
  <c r="B127" i="87"/>
  <c r="E132" i="87"/>
  <c r="E158" i="87"/>
  <c r="E131" i="87"/>
  <c r="F157" i="87" s="1"/>
  <c r="F110" i="87"/>
  <c r="G110" i="87" s="1"/>
  <c r="H110" i="87" s="1"/>
  <c r="I110" i="87" s="1"/>
  <c r="J110" i="87" s="1"/>
  <c r="K110" i="87" s="1"/>
  <c r="C130" i="87"/>
  <c r="E109" i="87"/>
  <c r="F109" i="87" s="1"/>
  <c r="G109" i="87" s="1"/>
  <c r="H109" i="87" s="1"/>
  <c r="I109" i="87" s="1"/>
  <c r="J109" i="87" s="1"/>
  <c r="K109" i="87" s="1"/>
  <c r="B128" i="87"/>
  <c r="C153" i="87" s="1"/>
  <c r="C107" i="87"/>
  <c r="D107" i="87" s="1"/>
  <c r="E107" i="87" s="1"/>
  <c r="F107" i="87" s="1"/>
  <c r="G107" i="87" s="1"/>
  <c r="H107" i="87" s="1"/>
  <c r="I107" i="87" s="1"/>
  <c r="J107" i="87" s="1"/>
  <c r="K107" i="87" s="1"/>
  <c r="B129" i="87"/>
  <c r="C108" i="87"/>
  <c r="D108" i="87" s="1"/>
  <c r="E108" i="87" s="1"/>
  <c r="F108" i="87" s="1"/>
  <c r="G108" i="87" s="1"/>
  <c r="H108" i="87" s="1"/>
  <c r="I108" i="87" s="1"/>
  <c r="J108" i="87" s="1"/>
  <c r="K108" i="87" s="1"/>
  <c r="B35" i="87"/>
  <c r="B26" i="87"/>
  <c r="B32" i="87" s="1"/>
  <c r="C155" i="87"/>
  <c r="F159" i="87"/>
  <c r="F133" i="87"/>
  <c r="G28" i="87"/>
  <c r="F29" i="87"/>
  <c r="H112" i="86"/>
  <c r="I112" i="86" s="1"/>
  <c r="J112" i="86" s="1"/>
  <c r="K112" i="86" s="1"/>
  <c r="B133" i="86"/>
  <c r="C159" i="86" s="1"/>
  <c r="C109" i="86"/>
  <c r="D109" i="86" s="1"/>
  <c r="E109" i="86" s="1"/>
  <c r="F109" i="86" s="1"/>
  <c r="G109" i="86" s="1"/>
  <c r="H109" i="86" s="1"/>
  <c r="I109" i="86" s="1"/>
  <c r="J109" i="86" s="1"/>
  <c r="K109" i="86" s="1"/>
  <c r="B130" i="86"/>
  <c r="H113" i="86"/>
  <c r="I113" i="86" s="1"/>
  <c r="J113" i="86" s="1"/>
  <c r="K113" i="86" s="1"/>
  <c r="B134" i="86"/>
  <c r="C160" i="86" s="1"/>
  <c r="F111" i="86"/>
  <c r="G111" i="86" s="1"/>
  <c r="H111" i="86" s="1"/>
  <c r="I111" i="86" s="1"/>
  <c r="J111" i="86" s="1"/>
  <c r="K111" i="86" s="1"/>
  <c r="B132" i="86"/>
  <c r="C108" i="86"/>
  <c r="D108" i="86" s="1"/>
  <c r="E108" i="86" s="1"/>
  <c r="F108" i="86" s="1"/>
  <c r="G108" i="86" s="1"/>
  <c r="H108" i="86" s="1"/>
  <c r="I108" i="86" s="1"/>
  <c r="J108" i="86" s="1"/>
  <c r="K108" i="86" s="1"/>
  <c r="B129" i="86"/>
  <c r="C154" i="86" s="1"/>
  <c r="E110" i="86"/>
  <c r="F110" i="86" s="1"/>
  <c r="G110" i="86" s="1"/>
  <c r="H110" i="86" s="1"/>
  <c r="I110" i="86" s="1"/>
  <c r="J110" i="86" s="1"/>
  <c r="K110" i="86" s="1"/>
  <c r="B131" i="86"/>
  <c r="F153" i="86" l="1"/>
  <c r="J153" i="86"/>
  <c r="B18" i="89"/>
  <c r="B83" i="89" s="1"/>
  <c r="E35" i="89"/>
  <c r="E44" i="89" s="1"/>
  <c r="E54" i="89" s="1"/>
  <c r="E153" i="86"/>
  <c r="I153" i="86"/>
  <c r="C153" i="86"/>
  <c r="K153" i="86"/>
  <c r="D153" i="86"/>
  <c r="H153" i="86"/>
  <c r="G153" i="86"/>
  <c r="B107" i="89" s="1"/>
  <c r="B125" i="89" s="1"/>
  <c r="C127" i="90"/>
  <c r="G112" i="87"/>
  <c r="H112" i="87" s="1"/>
  <c r="I112" i="87" s="1"/>
  <c r="J112" i="87" s="1"/>
  <c r="K112" i="87" s="1"/>
  <c r="F159" i="90"/>
  <c r="F133" i="90"/>
  <c r="G133" i="90" s="1"/>
  <c r="F131" i="90"/>
  <c r="F157" i="90"/>
  <c r="D128" i="90"/>
  <c r="D153" i="90"/>
  <c r="D129" i="90"/>
  <c r="D155" i="90"/>
  <c r="H132" i="90"/>
  <c r="H158" i="90"/>
  <c r="G29" i="90"/>
  <c r="H28" i="90"/>
  <c r="D199" i="89"/>
  <c r="D225" i="89"/>
  <c r="D198" i="89"/>
  <c r="D224" i="89"/>
  <c r="C57" i="89"/>
  <c r="E63" i="89" s="1"/>
  <c r="I36" i="89"/>
  <c r="J36" i="89" s="1"/>
  <c r="K36" i="89" s="1"/>
  <c r="G46" i="89"/>
  <c r="G56" i="89" s="1"/>
  <c r="C38" i="89"/>
  <c r="C127" i="87"/>
  <c r="C152" i="87"/>
  <c r="C128" i="87"/>
  <c r="F131" i="87"/>
  <c r="G157" i="87" s="1"/>
  <c r="H28" i="87"/>
  <c r="G29" i="87"/>
  <c r="C129" i="87"/>
  <c r="D130" i="87"/>
  <c r="E156" i="87" s="1"/>
  <c r="F132" i="87"/>
  <c r="F158" i="87"/>
  <c r="C130" i="86"/>
  <c r="C156" i="86"/>
  <c r="C132" i="86"/>
  <c r="C158" i="86"/>
  <c r="C131" i="86"/>
  <c r="C129" i="86"/>
  <c r="C134" i="86"/>
  <c r="C133" i="86"/>
  <c r="C152" i="89" l="1"/>
  <c r="F35" i="89"/>
  <c r="G35" i="89" s="1"/>
  <c r="H35" i="89" s="1"/>
  <c r="I35" i="89" s="1"/>
  <c r="J35" i="89" s="1"/>
  <c r="K35" i="89" s="1"/>
  <c r="H152" i="89"/>
  <c r="B172" i="89" s="1"/>
  <c r="C172" i="89" s="1"/>
  <c r="D172" i="89" s="1"/>
  <c r="E172" i="89" s="1"/>
  <c r="F172" i="89" s="1"/>
  <c r="G172" i="89" s="1"/>
  <c r="H172" i="89" s="1"/>
  <c r="I172" i="89" s="1"/>
  <c r="J172" i="89" s="1"/>
  <c r="K172" i="89" s="1"/>
  <c r="B218" i="89"/>
  <c r="D152" i="90"/>
  <c r="D127" i="90"/>
  <c r="G133" i="87"/>
  <c r="H159" i="87" s="1"/>
  <c r="E129" i="90"/>
  <c r="E155" i="90"/>
  <c r="G131" i="90"/>
  <c r="G157" i="90"/>
  <c r="H29" i="90"/>
  <c r="I28" i="90"/>
  <c r="H133" i="90"/>
  <c r="H159" i="90"/>
  <c r="I132" i="90"/>
  <c r="I158" i="90"/>
  <c r="E128" i="90"/>
  <c r="E153" i="90"/>
  <c r="E198" i="89"/>
  <c r="E224" i="89"/>
  <c r="E199" i="89"/>
  <c r="E225" i="89"/>
  <c r="D62" i="89"/>
  <c r="D64" i="89" s="1"/>
  <c r="G45" i="89"/>
  <c r="G55" i="89" s="1"/>
  <c r="F44" i="89"/>
  <c r="G44" i="89" s="1"/>
  <c r="H46" i="89"/>
  <c r="H56" i="89" s="1"/>
  <c r="C47" i="89"/>
  <c r="E130" i="87"/>
  <c r="F156" i="87" s="1"/>
  <c r="D129" i="87"/>
  <c r="D155" i="87"/>
  <c r="G131" i="87"/>
  <c r="H157" i="87" s="1"/>
  <c r="G132" i="87"/>
  <c r="H158" i="87" s="1"/>
  <c r="D128" i="87"/>
  <c r="D153" i="87"/>
  <c r="D127" i="87"/>
  <c r="D152" i="87"/>
  <c r="H29" i="87"/>
  <c r="I28" i="87"/>
  <c r="D130" i="86"/>
  <c r="D156" i="86"/>
  <c r="D129" i="86"/>
  <c r="D154" i="86"/>
  <c r="D134" i="86"/>
  <c r="D160" i="86"/>
  <c r="D133" i="86"/>
  <c r="D159" i="86"/>
  <c r="D132" i="86"/>
  <c r="D158" i="86"/>
  <c r="D131" i="86"/>
  <c r="E157" i="86" s="1"/>
  <c r="H133" i="87" l="1"/>
  <c r="I159" i="87" s="1"/>
  <c r="B193" i="89"/>
  <c r="C218" i="89" s="1"/>
  <c r="E127" i="90"/>
  <c r="E152" i="90"/>
  <c r="H45" i="89"/>
  <c r="H55" i="89" s="1"/>
  <c r="C193" i="89"/>
  <c r="D218" i="89" s="1"/>
  <c r="H131" i="90"/>
  <c r="H157" i="90"/>
  <c r="J132" i="90"/>
  <c r="J158" i="90"/>
  <c r="I29" i="90"/>
  <c r="J28" i="90"/>
  <c r="F129" i="90"/>
  <c r="F155" i="90"/>
  <c r="F128" i="90"/>
  <c r="F153" i="90"/>
  <c r="I133" i="90"/>
  <c r="I159" i="90"/>
  <c r="F199" i="89"/>
  <c r="F225" i="89"/>
  <c r="F224" i="89"/>
  <c r="F198" i="89"/>
  <c r="F54" i="89"/>
  <c r="I46" i="89"/>
  <c r="I56" i="89" s="1"/>
  <c r="H44" i="89"/>
  <c r="G54" i="89"/>
  <c r="E128" i="87"/>
  <c r="E153" i="87"/>
  <c r="I133" i="87"/>
  <c r="J159" i="87" s="1"/>
  <c r="E129" i="87"/>
  <c r="E155" i="87"/>
  <c r="I29" i="87"/>
  <c r="J28" i="87"/>
  <c r="E127" i="87"/>
  <c r="E152" i="87"/>
  <c r="H132" i="87"/>
  <c r="I158" i="87" s="1"/>
  <c r="H131" i="87"/>
  <c r="I157" i="87" s="1"/>
  <c r="F130" i="87"/>
  <c r="G156" i="87" s="1"/>
  <c r="E130" i="86"/>
  <c r="E156" i="86"/>
  <c r="E129" i="86"/>
  <c r="E154" i="86"/>
  <c r="E134" i="86"/>
  <c r="E160" i="86"/>
  <c r="E133" i="86"/>
  <c r="E159" i="86"/>
  <c r="E132" i="86"/>
  <c r="F158" i="86" s="1"/>
  <c r="E131" i="86"/>
  <c r="F157" i="86" s="1"/>
  <c r="I45" i="89" l="1"/>
  <c r="I55" i="89" s="1"/>
  <c r="D193" i="89"/>
  <c r="E218" i="89" s="1"/>
  <c r="F152" i="90"/>
  <c r="F127" i="90"/>
  <c r="G129" i="90"/>
  <c r="G155" i="90"/>
  <c r="J29" i="90"/>
  <c r="K28" i="90"/>
  <c r="J133" i="90"/>
  <c r="J159" i="90"/>
  <c r="K132" i="90"/>
  <c r="L158" i="90" s="1"/>
  <c r="K158" i="90"/>
  <c r="G128" i="90"/>
  <c r="G153" i="90"/>
  <c r="I131" i="90"/>
  <c r="I157" i="90"/>
  <c r="G224" i="89"/>
  <c r="G198" i="89"/>
  <c r="G199" i="89"/>
  <c r="G225" i="89"/>
  <c r="J45" i="89"/>
  <c r="J55" i="89" s="1"/>
  <c r="J46" i="89"/>
  <c r="J56" i="89" s="1"/>
  <c r="I44" i="89"/>
  <c r="H54" i="89"/>
  <c r="F129" i="87"/>
  <c r="F155" i="87"/>
  <c r="F128" i="87"/>
  <c r="F153" i="87"/>
  <c r="I132" i="87"/>
  <c r="J158" i="87" s="1"/>
  <c r="J29" i="87"/>
  <c r="K28" i="87"/>
  <c r="J133" i="87"/>
  <c r="K159" i="87" s="1"/>
  <c r="I131" i="87"/>
  <c r="J157" i="87" s="1"/>
  <c r="F127" i="87"/>
  <c r="F152" i="87"/>
  <c r="G130" i="87"/>
  <c r="H156" i="87" s="1"/>
  <c r="F130" i="86"/>
  <c r="F156" i="86"/>
  <c r="F129" i="86"/>
  <c r="F154" i="86"/>
  <c r="F134" i="86"/>
  <c r="F160" i="86"/>
  <c r="F133" i="86"/>
  <c r="F159" i="86"/>
  <c r="F132" i="86"/>
  <c r="G158" i="86" s="1"/>
  <c r="F131" i="86"/>
  <c r="G157" i="86" s="1"/>
  <c r="E193" i="89" l="1"/>
  <c r="G127" i="90"/>
  <c r="G152" i="90"/>
  <c r="J131" i="90"/>
  <c r="J157" i="90"/>
  <c r="K29" i="90"/>
  <c r="L28" i="90"/>
  <c r="H128" i="90"/>
  <c r="H153" i="90"/>
  <c r="K133" i="90"/>
  <c r="L159" i="90" s="1"/>
  <c r="K159" i="90"/>
  <c r="H129" i="90"/>
  <c r="H155" i="90"/>
  <c r="F193" i="89"/>
  <c r="F218" i="89"/>
  <c r="H198" i="89"/>
  <c r="H224" i="89"/>
  <c r="H199" i="89"/>
  <c r="H225" i="89"/>
  <c r="K45" i="89"/>
  <c r="K55" i="89" s="1"/>
  <c r="K46" i="89"/>
  <c r="K56" i="89" s="1"/>
  <c r="J44" i="89"/>
  <c r="I54" i="89"/>
  <c r="L28" i="87"/>
  <c r="K29" i="87"/>
  <c r="H130" i="87"/>
  <c r="I156" i="87" s="1"/>
  <c r="J131" i="87"/>
  <c r="K157" i="87" s="1"/>
  <c r="G128" i="87"/>
  <c r="G153" i="87"/>
  <c r="G127" i="87"/>
  <c r="G152" i="87"/>
  <c r="K133" i="87"/>
  <c r="L159" i="87" s="1"/>
  <c r="J132" i="87"/>
  <c r="K158" i="87" s="1"/>
  <c r="G129" i="87"/>
  <c r="G155" i="87"/>
  <c r="G130" i="86"/>
  <c r="G156" i="86"/>
  <c r="B110" i="89" s="1"/>
  <c r="B128" i="89" s="1"/>
  <c r="C155" i="89" s="1"/>
  <c r="B221" i="89" s="1"/>
  <c r="G129" i="86"/>
  <c r="G154" i="86"/>
  <c r="B108" i="89" s="1"/>
  <c r="B126" i="89" s="1"/>
  <c r="C153" i="89" s="1"/>
  <c r="H153" i="89" s="1"/>
  <c r="B173" i="89" s="1"/>
  <c r="C173" i="89" s="1"/>
  <c r="D173" i="89" s="1"/>
  <c r="E173" i="89" s="1"/>
  <c r="F173" i="89" s="1"/>
  <c r="G173" i="89" s="1"/>
  <c r="H173" i="89" s="1"/>
  <c r="I173" i="89" s="1"/>
  <c r="J173" i="89" s="1"/>
  <c r="K173" i="89" s="1"/>
  <c r="G134" i="86"/>
  <c r="H160" i="86" s="1"/>
  <c r="G133" i="86"/>
  <c r="H159" i="86" s="1"/>
  <c r="G132" i="86"/>
  <c r="H158" i="86" s="1"/>
  <c r="G131" i="86"/>
  <c r="H157" i="86" s="1"/>
  <c r="B219" i="89" l="1"/>
  <c r="H155" i="89"/>
  <c r="B174" i="89" s="1"/>
  <c r="B195" i="89" s="1"/>
  <c r="B194" i="89"/>
  <c r="C219" i="89" s="1"/>
  <c r="H127" i="90"/>
  <c r="H152" i="90"/>
  <c r="L29" i="90"/>
  <c r="M28" i="90"/>
  <c r="I129" i="90"/>
  <c r="I155" i="90"/>
  <c r="I128" i="90"/>
  <c r="I153" i="90"/>
  <c r="K131" i="90"/>
  <c r="L157" i="90" s="1"/>
  <c r="K157" i="90"/>
  <c r="G218" i="89"/>
  <c r="G193" i="89"/>
  <c r="C174" i="89"/>
  <c r="D174" i="89" s="1"/>
  <c r="E174" i="89" s="1"/>
  <c r="F174" i="89" s="1"/>
  <c r="G174" i="89" s="1"/>
  <c r="H174" i="89" s="1"/>
  <c r="I174" i="89" s="1"/>
  <c r="J174" i="89" s="1"/>
  <c r="K174" i="89" s="1"/>
  <c r="I198" i="89"/>
  <c r="I224" i="89"/>
  <c r="I199" i="89"/>
  <c r="I225" i="89"/>
  <c r="K44" i="89"/>
  <c r="K54" i="89" s="1"/>
  <c r="J54" i="89"/>
  <c r="I130" i="87"/>
  <c r="J156" i="87" s="1"/>
  <c r="H128" i="87"/>
  <c r="H153" i="87"/>
  <c r="H129" i="87"/>
  <c r="H155" i="87"/>
  <c r="K132" i="87"/>
  <c r="L158" i="87" s="1"/>
  <c r="H127" i="87"/>
  <c r="H152" i="87"/>
  <c r="K131" i="87"/>
  <c r="L157" i="87" s="1"/>
  <c r="L29" i="87"/>
  <c r="M28" i="87"/>
  <c r="H130" i="86"/>
  <c r="H156" i="86"/>
  <c r="H129" i="86"/>
  <c r="H154" i="86"/>
  <c r="H134" i="86"/>
  <c r="I160" i="86" s="1"/>
  <c r="H133" i="86"/>
  <c r="I159" i="86" s="1"/>
  <c r="H132" i="86"/>
  <c r="I158" i="86" s="1"/>
  <c r="H131" i="86"/>
  <c r="I157" i="86" s="1"/>
  <c r="C194" i="89" l="1"/>
  <c r="I127" i="90"/>
  <c r="I152" i="90"/>
  <c r="C195" i="89"/>
  <c r="D195" i="89" s="1"/>
  <c r="E195" i="89" s="1"/>
  <c r="F195" i="89" s="1"/>
  <c r="G195" i="89" s="1"/>
  <c r="J129" i="90"/>
  <c r="J155" i="90"/>
  <c r="M29" i="90"/>
  <c r="N28" i="90"/>
  <c r="J128" i="90"/>
  <c r="J153" i="90"/>
  <c r="D194" i="89"/>
  <c r="D219" i="89"/>
  <c r="H193" i="89"/>
  <c r="H218" i="89"/>
  <c r="C221" i="89"/>
  <c r="J199" i="89"/>
  <c r="J225" i="89"/>
  <c r="J198" i="89"/>
  <c r="J224" i="89"/>
  <c r="M29" i="87"/>
  <c r="N28" i="87"/>
  <c r="I128" i="87"/>
  <c r="I153" i="87"/>
  <c r="I127" i="87"/>
  <c r="I152" i="87"/>
  <c r="I129" i="87"/>
  <c r="I155" i="87"/>
  <c r="J130" i="87"/>
  <c r="K156" i="87" s="1"/>
  <c r="I130" i="86"/>
  <c r="I156" i="86"/>
  <c r="I129" i="86"/>
  <c r="I154" i="86"/>
  <c r="I134" i="86"/>
  <c r="J160" i="86" s="1"/>
  <c r="I133" i="86"/>
  <c r="J159" i="86" s="1"/>
  <c r="I132" i="86"/>
  <c r="J158" i="86" s="1"/>
  <c r="I131" i="86"/>
  <c r="J157" i="86" s="1"/>
  <c r="J127" i="90" l="1"/>
  <c r="J152" i="90"/>
  <c r="D221" i="89"/>
  <c r="E221" i="89"/>
  <c r="G221" i="89"/>
  <c r="F221" i="89"/>
  <c r="H195" i="89"/>
  <c r="H221" i="89"/>
  <c r="O28" i="90"/>
  <c r="O29" i="90" s="1"/>
  <c r="N29" i="90"/>
  <c r="K128" i="90"/>
  <c r="L153" i="90" s="1"/>
  <c r="K153" i="90"/>
  <c r="K129" i="90"/>
  <c r="L155" i="90" s="1"/>
  <c r="K155" i="90"/>
  <c r="E194" i="89"/>
  <c r="E219" i="89"/>
  <c r="I218" i="89"/>
  <c r="I193" i="89"/>
  <c r="K198" i="89"/>
  <c r="L224" i="89" s="1"/>
  <c r="K224" i="89"/>
  <c r="K199" i="89"/>
  <c r="L225" i="89" s="1"/>
  <c r="K225" i="89"/>
  <c r="N29" i="87"/>
  <c r="B29" i="87" s="1"/>
  <c r="B34" i="87" s="1"/>
  <c r="O28" i="87"/>
  <c r="O29" i="87" s="1"/>
  <c r="J129" i="87"/>
  <c r="J155" i="87"/>
  <c r="J128" i="87"/>
  <c r="J153" i="87"/>
  <c r="K130" i="87"/>
  <c r="L156" i="87" s="1"/>
  <c r="J127" i="87"/>
  <c r="J152" i="87"/>
  <c r="J130" i="86"/>
  <c r="J156" i="86"/>
  <c r="J129" i="86"/>
  <c r="J154" i="86"/>
  <c r="J134" i="86"/>
  <c r="K160" i="86" s="1"/>
  <c r="J133" i="86"/>
  <c r="K159" i="86" s="1"/>
  <c r="J132" i="86"/>
  <c r="K158" i="86" s="1"/>
  <c r="J131" i="86"/>
  <c r="K157" i="86" s="1"/>
  <c r="K127" i="90" l="1"/>
  <c r="L152" i="90" s="1"/>
  <c r="K152" i="90"/>
  <c r="I221" i="89"/>
  <c r="I195" i="89"/>
  <c r="P28" i="90"/>
  <c r="B28" i="90"/>
  <c r="B33" i="90" s="1"/>
  <c r="F194" i="89"/>
  <c r="F219" i="89"/>
  <c r="J193" i="89"/>
  <c r="J218" i="89"/>
  <c r="P28" i="87"/>
  <c r="Q28" i="87" s="1"/>
  <c r="R28" i="87" s="1"/>
  <c r="S28" i="87" s="1"/>
  <c r="T28" i="87" s="1"/>
  <c r="U28" i="87" s="1"/>
  <c r="V28" i="87" s="1"/>
  <c r="W28" i="87" s="1"/>
  <c r="X28" i="87" s="1"/>
  <c r="Y28" i="87" s="1"/>
  <c r="Z28" i="87" s="1"/>
  <c r="AA28" i="87" s="1"/>
  <c r="AB28" i="87" s="1"/>
  <c r="AC28" i="87" s="1"/>
  <c r="AD28" i="87" s="1"/>
  <c r="AE28" i="87" s="1"/>
  <c r="AF28" i="87" s="1"/>
  <c r="B28" i="87"/>
  <c r="B33" i="87" s="1"/>
  <c r="B36" i="87" s="1"/>
  <c r="B37" i="87" s="1"/>
  <c r="K128" i="87"/>
  <c r="L153" i="87" s="1"/>
  <c r="K153" i="87"/>
  <c r="K129" i="87"/>
  <c r="L155" i="87" s="1"/>
  <c r="K155" i="87"/>
  <c r="K127" i="87"/>
  <c r="L152" i="87" s="1"/>
  <c r="K152" i="87"/>
  <c r="K130" i="86"/>
  <c r="L156" i="86" s="1"/>
  <c r="K156" i="86"/>
  <c r="K129" i="86"/>
  <c r="L154" i="86" s="1"/>
  <c r="K154" i="86"/>
  <c r="K134" i="86"/>
  <c r="L160" i="86" s="1"/>
  <c r="K133" i="86"/>
  <c r="L159" i="86" s="1"/>
  <c r="K132" i="86"/>
  <c r="L158" i="86" s="1"/>
  <c r="K131" i="86"/>
  <c r="L157" i="86" s="1"/>
  <c r="Q28" i="90" l="1"/>
  <c r="P29" i="90"/>
  <c r="B40" i="87"/>
  <c r="O22" i="87"/>
  <c r="C83" i="87" s="1"/>
  <c r="O23" i="87"/>
  <c r="C84" i="87" s="1"/>
  <c r="O24" i="87"/>
  <c r="C85" i="87" s="1"/>
  <c r="O20" i="87"/>
  <c r="C81" i="87" s="1"/>
  <c r="O21" i="87"/>
  <c r="C82" i="87" s="1"/>
  <c r="O19" i="87"/>
  <c r="J195" i="89"/>
  <c r="J221" i="89"/>
  <c r="G194" i="89"/>
  <c r="G219" i="89"/>
  <c r="K218" i="89"/>
  <c r="K193" i="89"/>
  <c r="L218" i="89" s="1"/>
  <c r="R28" i="90" l="1"/>
  <c r="Q29" i="90"/>
  <c r="K195" i="89"/>
  <c r="L221" i="89" s="1"/>
  <c r="K221" i="89"/>
  <c r="H194" i="89"/>
  <c r="H219" i="89"/>
  <c r="B149" i="87"/>
  <c r="H83" i="87"/>
  <c r="B103" i="87" s="1"/>
  <c r="H84" i="87"/>
  <c r="B104" i="87" s="1"/>
  <c r="B150" i="87"/>
  <c r="B148" i="87"/>
  <c r="H82" i="87"/>
  <c r="B102" i="87" s="1"/>
  <c r="B151" i="87"/>
  <c r="H85" i="87"/>
  <c r="B105" i="87" s="1"/>
  <c r="C80" i="87"/>
  <c r="O25" i="87"/>
  <c r="H81" i="87"/>
  <c r="B101" i="87" s="1"/>
  <c r="B147" i="87"/>
  <c r="S28" i="90" l="1"/>
  <c r="T28" i="90" s="1"/>
  <c r="U28" i="90" s="1"/>
  <c r="V28" i="90" s="1"/>
  <c r="W28" i="90" s="1"/>
  <c r="X28" i="90" s="1"/>
  <c r="Y28" i="90" s="1"/>
  <c r="Z28" i="90" s="1"/>
  <c r="AA28" i="90" s="1"/>
  <c r="AB28" i="90" s="1"/>
  <c r="AC28" i="90" s="1"/>
  <c r="AD28" i="90" s="1"/>
  <c r="AE28" i="90" s="1"/>
  <c r="AF28" i="90" s="1"/>
  <c r="R29" i="90"/>
  <c r="B29" i="90" s="1"/>
  <c r="B34" i="90" s="1"/>
  <c r="B36" i="90" s="1"/>
  <c r="B37" i="90" s="1"/>
  <c r="I194" i="89"/>
  <c r="I219" i="89"/>
  <c r="B124" i="87"/>
  <c r="C149" i="87" s="1"/>
  <c r="C103" i="87"/>
  <c r="D103" i="87" s="1"/>
  <c r="E103" i="87" s="1"/>
  <c r="F103" i="87" s="1"/>
  <c r="G103" i="87" s="1"/>
  <c r="H103" i="87" s="1"/>
  <c r="I103" i="87" s="1"/>
  <c r="J103" i="87" s="1"/>
  <c r="K103" i="87" s="1"/>
  <c r="B126" i="87"/>
  <c r="C151" i="87" s="1"/>
  <c r="C105" i="87"/>
  <c r="D105" i="87" s="1"/>
  <c r="E105" i="87" s="1"/>
  <c r="F105" i="87" s="1"/>
  <c r="G105" i="87" s="1"/>
  <c r="H105" i="87" s="1"/>
  <c r="I105" i="87" s="1"/>
  <c r="J105" i="87" s="1"/>
  <c r="K105" i="87" s="1"/>
  <c r="B122" i="87"/>
  <c r="C101" i="87"/>
  <c r="D101" i="87" s="1"/>
  <c r="E101" i="87" s="1"/>
  <c r="F101" i="87" s="1"/>
  <c r="G101" i="87" s="1"/>
  <c r="H101" i="87" s="1"/>
  <c r="I101" i="87" s="1"/>
  <c r="J101" i="87" s="1"/>
  <c r="K101" i="87" s="1"/>
  <c r="C104" i="87"/>
  <c r="D104" i="87" s="1"/>
  <c r="E104" i="87" s="1"/>
  <c r="F104" i="87" s="1"/>
  <c r="G104" i="87" s="1"/>
  <c r="H104" i="87" s="1"/>
  <c r="I104" i="87" s="1"/>
  <c r="J104" i="87" s="1"/>
  <c r="K104" i="87" s="1"/>
  <c r="B125" i="87"/>
  <c r="B123" i="87"/>
  <c r="C102" i="87"/>
  <c r="D102" i="87" s="1"/>
  <c r="E102" i="87" s="1"/>
  <c r="F102" i="87" s="1"/>
  <c r="G102" i="87" s="1"/>
  <c r="H102" i="87" s="1"/>
  <c r="I102" i="87" s="1"/>
  <c r="J102" i="87" s="1"/>
  <c r="K102" i="87" s="1"/>
  <c r="H80" i="87"/>
  <c r="B100" i="87" s="1"/>
  <c r="B146" i="87"/>
  <c r="R20" i="90" l="1"/>
  <c r="C81" i="90" s="1"/>
  <c r="R23" i="90"/>
  <c r="C84" i="90" s="1"/>
  <c r="R21" i="90"/>
  <c r="C82" i="90" s="1"/>
  <c r="R19" i="90"/>
  <c r="R24" i="90"/>
  <c r="C85" i="90" s="1"/>
  <c r="B40" i="90"/>
  <c r="R22" i="90"/>
  <c r="C83" i="90" s="1"/>
  <c r="J194" i="89"/>
  <c r="J219" i="89"/>
  <c r="C123" i="87"/>
  <c r="C125" i="87"/>
  <c r="D125" i="87" s="1"/>
  <c r="E125" i="87" s="1"/>
  <c r="F125" i="87" s="1"/>
  <c r="G125" i="87" s="1"/>
  <c r="H125" i="87" s="1"/>
  <c r="I125" i="87" s="1"/>
  <c r="J125" i="87" s="1"/>
  <c r="K125" i="87" s="1"/>
  <c r="L150" i="87" s="1"/>
  <c r="C148" i="87"/>
  <c r="C150" i="87"/>
  <c r="B160" i="87"/>
  <c r="C171" i="87" s="1"/>
  <c r="B113" i="87"/>
  <c r="C170" i="87" s="1"/>
  <c r="B121" i="87"/>
  <c r="C146" i="87" s="1"/>
  <c r="C100" i="87"/>
  <c r="C122" i="87"/>
  <c r="C126" i="87"/>
  <c r="C147" i="87"/>
  <c r="C124" i="87"/>
  <c r="B151" i="90" l="1"/>
  <c r="H85" i="90"/>
  <c r="B105" i="90" s="1"/>
  <c r="C80" i="90"/>
  <c r="R25" i="90"/>
  <c r="H82" i="90"/>
  <c r="B102" i="90" s="1"/>
  <c r="B148" i="90"/>
  <c r="B150" i="90"/>
  <c r="H84" i="90"/>
  <c r="B104" i="90" s="1"/>
  <c r="H81" i="90"/>
  <c r="B101" i="90" s="1"/>
  <c r="B147" i="90"/>
  <c r="B149" i="90"/>
  <c r="H83" i="90"/>
  <c r="B103" i="90" s="1"/>
  <c r="F150" i="87"/>
  <c r="K219" i="89"/>
  <c r="K194" i="89"/>
  <c r="L219" i="89" s="1"/>
  <c r="E150" i="87"/>
  <c r="I150" i="87"/>
  <c r="K150" i="87"/>
  <c r="H150" i="87"/>
  <c r="D150" i="87"/>
  <c r="G150" i="87"/>
  <c r="C172" i="87"/>
  <c r="J150" i="87"/>
  <c r="D123" i="87"/>
  <c r="D148" i="87"/>
  <c r="C160" i="87"/>
  <c r="D171" i="87" s="1"/>
  <c r="D124" i="87"/>
  <c r="D149" i="87"/>
  <c r="D122" i="87"/>
  <c r="D147" i="87"/>
  <c r="B134" i="87"/>
  <c r="C121" i="87"/>
  <c r="D126" i="87"/>
  <c r="D151" i="87"/>
  <c r="C113" i="87"/>
  <c r="D170" i="87" s="1"/>
  <c r="D100" i="87"/>
  <c r="B125" i="90" l="1"/>
  <c r="C104" i="90"/>
  <c r="D104" i="90" s="1"/>
  <c r="E104" i="90" s="1"/>
  <c r="F104" i="90" s="1"/>
  <c r="G104" i="90" s="1"/>
  <c r="H104" i="90" s="1"/>
  <c r="I104" i="90" s="1"/>
  <c r="J104" i="90" s="1"/>
  <c r="K104" i="90" s="1"/>
  <c r="B123" i="90"/>
  <c r="C102" i="90"/>
  <c r="D102" i="90" s="1"/>
  <c r="E102" i="90" s="1"/>
  <c r="F102" i="90" s="1"/>
  <c r="G102" i="90" s="1"/>
  <c r="H102" i="90" s="1"/>
  <c r="I102" i="90" s="1"/>
  <c r="J102" i="90" s="1"/>
  <c r="K102" i="90" s="1"/>
  <c r="B122" i="90"/>
  <c r="C101" i="90"/>
  <c r="D101" i="90" s="1"/>
  <c r="E101" i="90" s="1"/>
  <c r="F101" i="90" s="1"/>
  <c r="G101" i="90" s="1"/>
  <c r="H101" i="90" s="1"/>
  <c r="I101" i="90" s="1"/>
  <c r="J101" i="90" s="1"/>
  <c r="K101" i="90" s="1"/>
  <c r="B146" i="90"/>
  <c r="B160" i="90" s="1"/>
  <c r="C171" i="90" s="1"/>
  <c r="H80" i="90"/>
  <c r="B100" i="90" s="1"/>
  <c r="C105" i="90"/>
  <c r="D105" i="90" s="1"/>
  <c r="E105" i="90" s="1"/>
  <c r="F105" i="90" s="1"/>
  <c r="G105" i="90" s="1"/>
  <c r="H105" i="90" s="1"/>
  <c r="I105" i="90" s="1"/>
  <c r="J105" i="90" s="1"/>
  <c r="K105" i="90" s="1"/>
  <c r="B126" i="90"/>
  <c r="C103" i="90"/>
  <c r="D103" i="90" s="1"/>
  <c r="E103" i="90" s="1"/>
  <c r="F103" i="90" s="1"/>
  <c r="G103" i="90" s="1"/>
  <c r="H103" i="90" s="1"/>
  <c r="I103" i="90" s="1"/>
  <c r="J103" i="90" s="1"/>
  <c r="K103" i="90" s="1"/>
  <c r="B124" i="90"/>
  <c r="C149" i="90" s="1"/>
  <c r="D172" i="87"/>
  <c r="E123" i="87"/>
  <c r="E148" i="87"/>
  <c r="E100" i="87"/>
  <c r="D113" i="87"/>
  <c r="E170" i="87" s="1"/>
  <c r="E126" i="87"/>
  <c r="E151" i="87"/>
  <c r="E122" i="87"/>
  <c r="E147" i="87"/>
  <c r="D121" i="87"/>
  <c r="C134" i="87"/>
  <c r="D146" i="87"/>
  <c r="D160" i="87" s="1"/>
  <c r="E171" i="87" s="1"/>
  <c r="E124" i="87"/>
  <c r="E149" i="87"/>
  <c r="C151" i="90" l="1"/>
  <c r="C126" i="90"/>
  <c r="B121" i="90"/>
  <c r="B113" i="90"/>
  <c r="C170" i="90" s="1"/>
  <c r="C172" i="90" s="1"/>
  <c r="C100" i="90"/>
  <c r="C148" i="90"/>
  <c r="C123" i="90"/>
  <c r="C122" i="90"/>
  <c r="C150" i="90"/>
  <c r="C125" i="90"/>
  <c r="C124" i="90"/>
  <c r="C147" i="90"/>
  <c r="E172" i="87"/>
  <c r="F123" i="87"/>
  <c r="F148" i="87"/>
  <c r="D134" i="87"/>
  <c r="E121" i="87"/>
  <c r="E146" i="87"/>
  <c r="F126" i="87"/>
  <c r="F151" i="87"/>
  <c r="F124" i="87"/>
  <c r="F149" i="87"/>
  <c r="F122" i="87"/>
  <c r="F147" i="87"/>
  <c r="E113" i="87"/>
  <c r="F170" i="87" s="1"/>
  <c r="F100" i="87"/>
  <c r="D126" i="90" l="1"/>
  <c r="D151" i="90"/>
  <c r="C146" i="90"/>
  <c r="C160" i="90" s="1"/>
  <c r="D171" i="90" s="1"/>
  <c r="C121" i="90"/>
  <c r="B134" i="90"/>
  <c r="D124" i="90"/>
  <c r="D149" i="90"/>
  <c r="D148" i="90"/>
  <c r="D123" i="90"/>
  <c r="D122" i="90"/>
  <c r="D147" i="90"/>
  <c r="D125" i="90"/>
  <c r="D150" i="90"/>
  <c r="D100" i="90"/>
  <c r="C113" i="90"/>
  <c r="D170" i="90" s="1"/>
  <c r="E160" i="87"/>
  <c r="F171" i="87" s="1"/>
  <c r="F172" i="87" s="1"/>
  <c r="G123" i="87"/>
  <c r="G148" i="87"/>
  <c r="F113" i="87"/>
  <c r="G170" i="87" s="1"/>
  <c r="G100" i="87"/>
  <c r="G124" i="87"/>
  <c r="G149" i="87"/>
  <c r="E134" i="87"/>
  <c r="F121" i="87"/>
  <c r="F146" i="87"/>
  <c r="F160" i="87" s="1"/>
  <c r="G171" i="87" s="1"/>
  <c r="G122" i="87"/>
  <c r="G147" i="87"/>
  <c r="G126" i="87"/>
  <c r="G151" i="87"/>
  <c r="D172" i="90" l="1"/>
  <c r="E148" i="90"/>
  <c r="E123" i="90"/>
  <c r="E100" i="90"/>
  <c r="D113" i="90"/>
  <c r="E170" i="90" s="1"/>
  <c r="E124" i="90"/>
  <c r="E149" i="90"/>
  <c r="E122" i="90"/>
  <c r="E147" i="90"/>
  <c r="E126" i="90"/>
  <c r="E151" i="90"/>
  <c r="E125" i="90"/>
  <c r="E150" i="90"/>
  <c r="C134" i="90"/>
  <c r="D121" i="90"/>
  <c r="D146" i="90"/>
  <c r="D160" i="90" s="1"/>
  <c r="E171" i="90" s="1"/>
  <c r="G172" i="87"/>
  <c r="H123" i="87"/>
  <c r="H148" i="87"/>
  <c r="H124" i="87"/>
  <c r="H149" i="87"/>
  <c r="H126" i="87"/>
  <c r="H151" i="87"/>
  <c r="F134" i="87"/>
  <c r="G121" i="87"/>
  <c r="G146" i="87"/>
  <c r="G160" i="87" s="1"/>
  <c r="H171" i="87" s="1"/>
  <c r="H100" i="87"/>
  <c r="G113" i="87"/>
  <c r="H170" i="87" s="1"/>
  <c r="H122" i="87"/>
  <c r="H147" i="87"/>
  <c r="F124" i="90" l="1"/>
  <c r="F149" i="90"/>
  <c r="E146" i="90"/>
  <c r="E160" i="90" s="1"/>
  <c r="F171" i="90" s="1"/>
  <c r="E121" i="90"/>
  <c r="D134" i="90"/>
  <c r="F150" i="90"/>
  <c r="F125" i="90"/>
  <c r="E113" i="90"/>
  <c r="F170" i="90" s="1"/>
  <c r="F100" i="90"/>
  <c r="F147" i="90"/>
  <c r="F122" i="90"/>
  <c r="E172" i="90"/>
  <c r="F123" i="90"/>
  <c r="F148" i="90"/>
  <c r="F126" i="90"/>
  <c r="F151" i="90"/>
  <c r="I123" i="87"/>
  <c r="I148" i="87"/>
  <c r="I100" i="87"/>
  <c r="H113" i="87"/>
  <c r="I170" i="87" s="1"/>
  <c r="I126" i="87"/>
  <c r="I151" i="87"/>
  <c r="I122" i="87"/>
  <c r="I147" i="87"/>
  <c r="H121" i="87"/>
  <c r="G134" i="87"/>
  <c r="H146" i="87"/>
  <c r="H160" i="87" s="1"/>
  <c r="I171" i="87" s="1"/>
  <c r="H172" i="87"/>
  <c r="I124" i="87"/>
  <c r="I149" i="87"/>
  <c r="F172" i="90" l="1"/>
  <c r="G148" i="90"/>
  <c r="G123" i="90"/>
  <c r="G150" i="90"/>
  <c r="G125" i="90"/>
  <c r="E134" i="90"/>
  <c r="F121" i="90"/>
  <c r="F146" i="90"/>
  <c r="F160" i="90" s="1"/>
  <c r="G171" i="90" s="1"/>
  <c r="G126" i="90"/>
  <c r="G151" i="90"/>
  <c r="G122" i="90"/>
  <c r="G147" i="90"/>
  <c r="G100" i="90"/>
  <c r="F113" i="90"/>
  <c r="G170" i="90" s="1"/>
  <c r="G124" i="90"/>
  <c r="G149" i="90"/>
  <c r="I172" i="87"/>
  <c r="J123" i="87"/>
  <c r="J148" i="87"/>
  <c r="J124" i="87"/>
  <c r="J149" i="87"/>
  <c r="I121" i="87"/>
  <c r="H134" i="87"/>
  <c r="I146" i="87"/>
  <c r="I160" i="87" s="1"/>
  <c r="J171" i="87" s="1"/>
  <c r="J126" i="87"/>
  <c r="J151" i="87"/>
  <c r="J122" i="87"/>
  <c r="J147" i="87"/>
  <c r="I113" i="87"/>
  <c r="J170" i="87" s="1"/>
  <c r="J100" i="87"/>
  <c r="H149" i="90" l="1"/>
  <c r="H124" i="90"/>
  <c r="G121" i="90"/>
  <c r="G146" i="90"/>
  <c r="G160" i="90" s="1"/>
  <c r="H171" i="90" s="1"/>
  <c r="F134" i="90"/>
  <c r="G172" i="90"/>
  <c r="H126" i="90"/>
  <c r="H151" i="90"/>
  <c r="H100" i="90"/>
  <c r="G113" i="90"/>
  <c r="H170" i="90" s="1"/>
  <c r="H150" i="90"/>
  <c r="H125" i="90"/>
  <c r="H122" i="90"/>
  <c r="H147" i="90"/>
  <c r="H148" i="90"/>
  <c r="H123" i="90"/>
  <c r="J172" i="87"/>
  <c r="K123" i="87"/>
  <c r="L148" i="87" s="1"/>
  <c r="K148" i="87"/>
  <c r="K122" i="87"/>
  <c r="L147" i="87" s="1"/>
  <c r="K147" i="87"/>
  <c r="J113" i="87"/>
  <c r="K170" i="87" s="1"/>
  <c r="K100" i="87"/>
  <c r="K113" i="87" s="1"/>
  <c r="L170" i="87" s="1"/>
  <c r="I134" i="87"/>
  <c r="J121" i="87"/>
  <c r="J146" i="87"/>
  <c r="J160" i="87" s="1"/>
  <c r="K171" i="87" s="1"/>
  <c r="K126" i="87"/>
  <c r="L151" i="87" s="1"/>
  <c r="K151" i="87"/>
  <c r="K124" i="87"/>
  <c r="L149" i="87" s="1"/>
  <c r="K149" i="87"/>
  <c r="I148" i="90" l="1"/>
  <c r="I123" i="90"/>
  <c r="I151" i="90"/>
  <c r="I126" i="90"/>
  <c r="I122" i="90"/>
  <c r="I147" i="90"/>
  <c r="I150" i="90"/>
  <c r="I125" i="90"/>
  <c r="G134" i="90"/>
  <c r="H146" i="90"/>
  <c r="H160" i="90" s="1"/>
  <c r="I171" i="90" s="1"/>
  <c r="H121" i="90"/>
  <c r="H172" i="90"/>
  <c r="I124" i="90"/>
  <c r="I149" i="90"/>
  <c r="I100" i="90"/>
  <c r="H113" i="90"/>
  <c r="I170" i="90" s="1"/>
  <c r="I172" i="90" s="1"/>
  <c r="K172" i="87"/>
  <c r="J134" i="87"/>
  <c r="K121" i="87"/>
  <c r="K146" i="87"/>
  <c r="K160" i="87" s="1"/>
  <c r="L171" i="87" s="1"/>
  <c r="L172" i="87" s="1"/>
  <c r="J122" i="90" l="1"/>
  <c r="J147" i="90"/>
  <c r="J151" i="90"/>
  <c r="J126" i="90"/>
  <c r="I146" i="90"/>
  <c r="I160" i="90" s="1"/>
  <c r="J171" i="90" s="1"/>
  <c r="H134" i="90"/>
  <c r="I121" i="90"/>
  <c r="J123" i="90"/>
  <c r="J148" i="90"/>
  <c r="J125" i="90"/>
  <c r="J150" i="90"/>
  <c r="J100" i="90"/>
  <c r="I113" i="90"/>
  <c r="J170" i="90" s="1"/>
  <c r="J124" i="90"/>
  <c r="J149" i="90"/>
  <c r="B172" i="87"/>
  <c r="K134" i="87"/>
  <c r="L146" i="87"/>
  <c r="L160" i="87" s="1"/>
  <c r="J172" i="90" l="1"/>
  <c r="K123" i="90"/>
  <c r="L148" i="90" s="1"/>
  <c r="K148" i="90"/>
  <c r="I134" i="90"/>
  <c r="J121" i="90"/>
  <c r="J146" i="90"/>
  <c r="J160" i="90" s="1"/>
  <c r="K171" i="90" s="1"/>
  <c r="K124" i="90"/>
  <c r="L149" i="90" s="1"/>
  <c r="K149" i="90"/>
  <c r="K151" i="90"/>
  <c r="K126" i="90"/>
  <c r="L151" i="90" s="1"/>
  <c r="K125" i="90"/>
  <c r="L150" i="90" s="1"/>
  <c r="K150" i="90"/>
  <c r="J113" i="90"/>
  <c r="K170" i="90" s="1"/>
  <c r="K100" i="90"/>
  <c r="K113" i="90" s="1"/>
  <c r="L170" i="90" s="1"/>
  <c r="K122" i="90"/>
  <c r="L147" i="90" s="1"/>
  <c r="K147" i="90"/>
  <c r="J134" i="90" l="1"/>
  <c r="K121" i="90"/>
  <c r="K146" i="90"/>
  <c r="K160" i="90" s="1"/>
  <c r="L171" i="90" s="1"/>
  <c r="L172" i="90" s="1"/>
  <c r="K172" i="90"/>
  <c r="B39" i="86"/>
  <c r="B20" i="86"/>
  <c r="B21" i="86"/>
  <c r="B22" i="86"/>
  <c r="B23" i="86"/>
  <c r="B24" i="86"/>
  <c r="B19" i="86"/>
  <c r="B172" i="90" l="1"/>
  <c r="K134" i="90"/>
  <c r="L146" i="90"/>
  <c r="L160" i="90" s="1"/>
  <c r="C28" i="86"/>
  <c r="D28" i="86" s="1"/>
  <c r="E28" i="86" s="1"/>
  <c r="F28" i="86" s="1"/>
  <c r="G28" i="86" s="1"/>
  <c r="H28" i="86" s="1"/>
  <c r="I28" i="86" s="1"/>
  <c r="J28" i="86" s="1"/>
  <c r="K28" i="86" s="1"/>
  <c r="L28" i="86" s="1"/>
  <c r="M28" i="86" s="1"/>
  <c r="N28" i="86" s="1"/>
  <c r="O28" i="86" s="1"/>
  <c r="B38" i="86"/>
  <c r="C17" i="86"/>
  <c r="D17" i="86" s="1"/>
  <c r="E17" i="86" s="1"/>
  <c r="F17" i="86" s="1"/>
  <c r="G17" i="86" s="1"/>
  <c r="H17" i="86" s="1"/>
  <c r="I17" i="86" s="1"/>
  <c r="J17" i="86" s="1"/>
  <c r="K17" i="86" s="1"/>
  <c r="L17" i="86" s="1"/>
  <c r="M17" i="86" s="1"/>
  <c r="N17" i="86" s="1"/>
  <c r="O17" i="86" s="1"/>
  <c r="P17" i="86" s="1"/>
  <c r="Q17" i="86" s="1"/>
  <c r="R17" i="86" s="1"/>
  <c r="S17" i="86" s="1"/>
  <c r="T17" i="86" s="1"/>
  <c r="U17" i="86" s="1"/>
  <c r="V17" i="86" s="1"/>
  <c r="W17" i="86" s="1"/>
  <c r="X17" i="86" s="1"/>
  <c r="Y17" i="86" s="1"/>
  <c r="Z17" i="86" s="1"/>
  <c r="AA17" i="86" s="1"/>
  <c r="AB17" i="86" s="1"/>
  <c r="AC17" i="86" s="1"/>
  <c r="AD17" i="86" s="1"/>
  <c r="AE17" i="86" s="1"/>
  <c r="AF17" i="86" s="1"/>
  <c r="C13" i="86"/>
  <c r="D13" i="86" s="1"/>
  <c r="E13" i="86" s="1"/>
  <c r="F13" i="86" s="1"/>
  <c r="G13" i="86" s="1"/>
  <c r="H13" i="86" s="1"/>
  <c r="I13" i="86" s="1"/>
  <c r="J13" i="86" s="1"/>
  <c r="K13" i="86" s="1"/>
  <c r="L13" i="86" s="1"/>
  <c r="M13" i="86" s="1"/>
  <c r="N13" i="86" s="1"/>
  <c r="O13" i="86" s="1"/>
  <c r="P13" i="86" s="1"/>
  <c r="Q13" i="86" s="1"/>
  <c r="R13" i="86" s="1"/>
  <c r="S13" i="86" s="1"/>
  <c r="T13" i="86" s="1"/>
  <c r="U13" i="86" s="1"/>
  <c r="V13" i="86" s="1"/>
  <c r="W13" i="86" s="1"/>
  <c r="X13" i="86" s="1"/>
  <c r="Y13" i="86" s="1"/>
  <c r="Z13" i="86" s="1"/>
  <c r="AA13" i="86" s="1"/>
  <c r="AB13" i="86" s="1"/>
  <c r="AC13" i="86" s="1"/>
  <c r="AD13" i="86" s="1"/>
  <c r="AE13" i="86" s="1"/>
  <c r="AF13" i="86" s="1"/>
  <c r="P28" i="86" l="1"/>
  <c r="Q28" i="86" s="1"/>
  <c r="R28" i="86" s="1"/>
  <c r="S28" i="86" s="1"/>
  <c r="T28" i="86" s="1"/>
  <c r="U28" i="86" s="1"/>
  <c r="V28" i="86" s="1"/>
  <c r="W28" i="86" s="1"/>
  <c r="X28" i="86" s="1"/>
  <c r="Y28" i="86" s="1"/>
  <c r="Z28" i="86" s="1"/>
  <c r="AA28" i="86" s="1"/>
  <c r="AB28" i="86" s="1"/>
  <c r="AC28" i="86" s="1"/>
  <c r="AD28" i="86" s="1"/>
  <c r="AE28" i="86" s="1"/>
  <c r="AF28" i="86" s="1"/>
  <c r="O29" i="86"/>
  <c r="E29" i="86"/>
  <c r="G25" i="86"/>
  <c r="F25" i="86"/>
  <c r="D25" i="86"/>
  <c r="E25" i="86"/>
  <c r="C25" i="86"/>
  <c r="F29" i="86" l="1"/>
  <c r="G29" i="86" l="1"/>
  <c r="H25" i="86"/>
  <c r="I25" i="86"/>
  <c r="H29" i="86" l="1"/>
  <c r="J25" i="86"/>
  <c r="I29" i="86" l="1"/>
  <c r="K25" i="86"/>
  <c r="J29" i="86" l="1"/>
  <c r="L25" i="86"/>
  <c r="K29" i="86" l="1"/>
  <c r="M25" i="86"/>
  <c r="L29" i="86" l="1"/>
  <c r="N25" i="86"/>
  <c r="M29" i="86" l="1"/>
  <c r="B25" i="86"/>
  <c r="B26" i="86" l="1"/>
  <c r="B32" i="86" s="1"/>
  <c r="N29" i="86"/>
  <c r="B35" i="86"/>
  <c r="B29" i="86" l="1"/>
  <c r="B34" i="86" s="1"/>
  <c r="B28" i="86" l="1"/>
  <c r="B33" i="86" s="1"/>
  <c r="B36" i="86" l="1"/>
  <c r="B37" i="86" s="1"/>
  <c r="O24" i="86" l="1"/>
  <c r="C86" i="86" s="1"/>
  <c r="O21" i="86"/>
  <c r="C83" i="86" s="1"/>
  <c r="O20" i="86"/>
  <c r="C82" i="86" s="1"/>
  <c r="O19" i="86"/>
  <c r="C81" i="86" s="1"/>
  <c r="O23" i="86"/>
  <c r="C85" i="86" s="1"/>
  <c r="O22" i="86"/>
  <c r="C84" i="86" s="1"/>
  <c r="H86" i="86" l="1"/>
  <c r="B106" i="86" s="1"/>
  <c r="B127" i="86" s="1"/>
  <c r="B152" i="86"/>
  <c r="H84" i="86"/>
  <c r="B104" i="86" s="1"/>
  <c r="B125" i="86" s="1"/>
  <c r="B150" i="86"/>
  <c r="H85" i="86"/>
  <c r="B105" i="86" s="1"/>
  <c r="C105" i="86" s="1"/>
  <c r="D105" i="86" s="1"/>
  <c r="E105" i="86" s="1"/>
  <c r="F105" i="86" s="1"/>
  <c r="G105" i="86" s="1"/>
  <c r="H105" i="86" s="1"/>
  <c r="I105" i="86" s="1"/>
  <c r="J105" i="86" s="1"/>
  <c r="K105" i="86" s="1"/>
  <c r="B151" i="86"/>
  <c r="H81" i="86"/>
  <c r="B101" i="86" s="1"/>
  <c r="B122" i="86" s="1"/>
  <c r="B147" i="86"/>
  <c r="H83" i="86"/>
  <c r="B103" i="86" s="1"/>
  <c r="C103" i="86" s="1"/>
  <c r="D103" i="86" s="1"/>
  <c r="E103" i="86" s="1"/>
  <c r="F103" i="86" s="1"/>
  <c r="G103" i="86" s="1"/>
  <c r="H103" i="86" s="1"/>
  <c r="I103" i="86" s="1"/>
  <c r="J103" i="86" s="1"/>
  <c r="K103" i="86" s="1"/>
  <c r="B149" i="86"/>
  <c r="H82" i="86"/>
  <c r="B102" i="86" s="1"/>
  <c r="B123" i="86" s="1"/>
  <c r="B148" i="86"/>
  <c r="C106" i="86"/>
  <c r="D106" i="86" s="1"/>
  <c r="E106" i="86" s="1"/>
  <c r="F106" i="86" s="1"/>
  <c r="G106" i="86" s="1"/>
  <c r="H106" i="86" s="1"/>
  <c r="I106" i="86" s="1"/>
  <c r="J106" i="86" s="1"/>
  <c r="K106" i="86" s="1"/>
  <c r="O25" i="86"/>
  <c r="G15" i="71"/>
  <c r="H4" i="71"/>
  <c r="H5" i="71"/>
  <c r="H6" i="71"/>
  <c r="H7" i="71"/>
  <c r="H8" i="71"/>
  <c r="H9" i="71"/>
  <c r="H10" i="71"/>
  <c r="H11" i="71"/>
  <c r="H12" i="71"/>
  <c r="H13" i="71"/>
  <c r="H14" i="71"/>
  <c r="H3" i="71"/>
  <c r="D38" i="64"/>
  <c r="E38" i="64" s="1"/>
  <c r="F38" i="64" s="1"/>
  <c r="G38" i="64" s="1"/>
  <c r="H38" i="64" s="1"/>
  <c r="H4" i="64"/>
  <c r="H5" i="64"/>
  <c r="H6" i="64"/>
  <c r="H7" i="64"/>
  <c r="H8" i="64"/>
  <c r="H9" i="64"/>
  <c r="H10" i="64"/>
  <c r="H11" i="64"/>
  <c r="H12" i="64"/>
  <c r="H13" i="64"/>
  <c r="H14" i="64"/>
  <c r="H3" i="64"/>
  <c r="D42" i="59"/>
  <c r="E42" i="59" s="1"/>
  <c r="F42" i="59" s="1"/>
  <c r="G42" i="59" s="1"/>
  <c r="H42" i="59" s="1"/>
  <c r="C20" i="84"/>
  <c r="C19" i="84"/>
  <c r="C15" i="84"/>
  <c r="C12" i="84"/>
  <c r="C11" i="84"/>
  <c r="C8" i="84"/>
  <c r="C20" i="83"/>
  <c r="C19" i="83"/>
  <c r="C15" i="83"/>
  <c r="C12" i="83"/>
  <c r="C11" i="83"/>
  <c r="C8" i="83"/>
  <c r="H4" i="81"/>
  <c r="H5" i="81"/>
  <c r="H6" i="81"/>
  <c r="H7" i="81"/>
  <c r="H8" i="81"/>
  <c r="H9" i="81"/>
  <c r="H3" i="81"/>
  <c r="D23" i="81"/>
  <c r="E23" i="81" s="1"/>
  <c r="F23" i="81" s="1"/>
  <c r="G23" i="81" s="1"/>
  <c r="H23" i="81" s="1"/>
  <c r="D27" i="80"/>
  <c r="E27" i="80" s="1"/>
  <c r="F27" i="80" s="1"/>
  <c r="G27" i="80" s="1"/>
  <c r="H27" i="80" s="1"/>
  <c r="H14" i="80"/>
  <c r="E10" i="80"/>
  <c r="G10" i="80" s="1"/>
  <c r="C24" i="80" s="1"/>
  <c r="D10" i="80"/>
  <c r="F10" i="80" s="1"/>
  <c r="G9" i="80"/>
  <c r="F9" i="80"/>
  <c r="G8" i="80"/>
  <c r="F8" i="80"/>
  <c r="G7" i="80"/>
  <c r="F7" i="80"/>
  <c r="H7" i="80" s="1"/>
  <c r="G6" i="80"/>
  <c r="F6" i="80"/>
  <c r="G5" i="80"/>
  <c r="F5" i="80"/>
  <c r="G4" i="80"/>
  <c r="F4" i="80"/>
  <c r="G3" i="80"/>
  <c r="H3" i="80" s="1"/>
  <c r="C21" i="84" l="1"/>
  <c r="C25" i="84" s="1"/>
  <c r="H5" i="80"/>
  <c r="H9" i="80"/>
  <c r="H6" i="80"/>
  <c r="H10" i="80"/>
  <c r="H17" i="80" s="1"/>
  <c r="H19" i="80" s="1"/>
  <c r="H19" i="65" s="1"/>
  <c r="J25" i="84"/>
  <c r="K25" i="84" s="1"/>
  <c r="L25" i="84" s="1"/>
  <c r="E25" i="84"/>
  <c r="F25" i="84" s="1"/>
  <c r="G25" i="84" s="1"/>
  <c r="H25" i="84" s="1"/>
  <c r="I25" i="84" s="1"/>
  <c r="H4" i="80"/>
  <c r="H8" i="80"/>
  <c r="C104" i="86"/>
  <c r="D104" i="86" s="1"/>
  <c r="E104" i="86" s="1"/>
  <c r="F104" i="86" s="1"/>
  <c r="G104" i="86" s="1"/>
  <c r="H104" i="86" s="1"/>
  <c r="I104" i="86" s="1"/>
  <c r="J104" i="86" s="1"/>
  <c r="K104" i="86" s="1"/>
  <c r="B124" i="86"/>
  <c r="B126" i="86"/>
  <c r="B114" i="86"/>
  <c r="C171" i="86" s="1"/>
  <c r="C148" i="86"/>
  <c r="B161" i="86"/>
  <c r="C172" i="86" s="1"/>
  <c r="C147" i="86"/>
  <c r="C150" i="86"/>
  <c r="C101" i="86"/>
  <c r="C122" i="86" s="1"/>
  <c r="D147" i="86" s="1"/>
  <c r="C149" i="86"/>
  <c r="C151" i="86"/>
  <c r="C152" i="86"/>
  <c r="C102" i="86"/>
  <c r="D102" i="86" s="1"/>
  <c r="E102" i="86" s="1"/>
  <c r="F102" i="86" s="1"/>
  <c r="G102" i="86" s="1"/>
  <c r="H102" i="86" s="1"/>
  <c r="I102" i="86" s="1"/>
  <c r="J102" i="86" s="1"/>
  <c r="K102" i="86" s="1"/>
  <c r="C124" i="86"/>
  <c r="D124" i="86" s="1"/>
  <c r="E124" i="86" s="1"/>
  <c r="F124" i="86" s="1"/>
  <c r="G124" i="86" s="1"/>
  <c r="H124" i="86" s="1"/>
  <c r="I124" i="86" s="1"/>
  <c r="J124" i="86" s="1"/>
  <c r="K124" i="86" s="1"/>
  <c r="L149" i="86" s="1"/>
  <c r="C127" i="86"/>
  <c r="D127" i="86" s="1"/>
  <c r="E127" i="86" s="1"/>
  <c r="F127" i="86" s="1"/>
  <c r="G127" i="86" s="1"/>
  <c r="H127" i="86" s="1"/>
  <c r="I127" i="86" s="1"/>
  <c r="J127" i="86" s="1"/>
  <c r="K127" i="86" s="1"/>
  <c r="L152" i="86" s="1"/>
  <c r="C13" i="84"/>
  <c r="C24" i="84" s="1"/>
  <c r="D24" i="84" s="1"/>
  <c r="E24" i="84" s="1"/>
  <c r="M25" i="84"/>
  <c r="C13" i="83"/>
  <c r="C24" i="83" s="1"/>
  <c r="D24" i="83" s="1"/>
  <c r="C21" i="83"/>
  <c r="C25" i="83" s="1"/>
  <c r="M25" i="83" s="1"/>
  <c r="I30" i="80"/>
  <c r="I26" i="81"/>
  <c r="H10" i="81"/>
  <c r="D24" i="80"/>
  <c r="C20" i="81" l="1"/>
  <c r="D20" i="81" s="1"/>
  <c r="D25" i="84"/>
  <c r="E24" i="83"/>
  <c r="J25" i="83"/>
  <c r="K25" i="83" s="1"/>
  <c r="L25" i="83" s="1"/>
  <c r="E25" i="83"/>
  <c r="F25" i="83" s="1"/>
  <c r="G25" i="83" s="1"/>
  <c r="H25" i="83" s="1"/>
  <c r="I25" i="83" s="1"/>
  <c r="B135" i="86"/>
  <c r="C125" i="86"/>
  <c r="D125" i="86" s="1"/>
  <c r="E125" i="86" s="1"/>
  <c r="F125" i="86" s="1"/>
  <c r="G125" i="86" s="1"/>
  <c r="H125" i="86" s="1"/>
  <c r="I125" i="86" s="1"/>
  <c r="J125" i="86" s="1"/>
  <c r="K125" i="86" s="1"/>
  <c r="L150" i="86" s="1"/>
  <c r="C123" i="86"/>
  <c r="D148" i="86" s="1"/>
  <c r="C126" i="86"/>
  <c r="D126" i="86" s="1"/>
  <c r="E126" i="86" s="1"/>
  <c r="F126" i="86" s="1"/>
  <c r="G126" i="86" s="1"/>
  <c r="H126" i="86" s="1"/>
  <c r="I126" i="86" s="1"/>
  <c r="J126" i="86" s="1"/>
  <c r="K126" i="86" s="1"/>
  <c r="L151" i="86" s="1"/>
  <c r="D101" i="86"/>
  <c r="D122" i="86" s="1"/>
  <c r="E147" i="86" s="1"/>
  <c r="D149" i="86"/>
  <c r="C114" i="86"/>
  <c r="D171" i="86" s="1"/>
  <c r="C173" i="86"/>
  <c r="I152" i="86"/>
  <c r="I149" i="86"/>
  <c r="J152" i="86"/>
  <c r="E152" i="86"/>
  <c r="G149" i="86"/>
  <c r="B103" i="89" s="1"/>
  <c r="B121" i="89" s="1"/>
  <c r="H149" i="86"/>
  <c r="H152" i="86"/>
  <c r="K152" i="86"/>
  <c r="F152" i="86"/>
  <c r="J149" i="86"/>
  <c r="E149" i="86"/>
  <c r="C161" i="86"/>
  <c r="D172" i="86" s="1"/>
  <c r="D152" i="86"/>
  <c r="G152" i="86"/>
  <c r="B106" i="89" s="1"/>
  <c r="B124" i="89" s="1"/>
  <c r="K149" i="86"/>
  <c r="F149" i="86"/>
  <c r="E26" i="84"/>
  <c r="F24" i="84"/>
  <c r="D26" i="84"/>
  <c r="F24" i="83"/>
  <c r="D25" i="80"/>
  <c r="D28" i="80" s="1"/>
  <c r="D29" i="80" s="1"/>
  <c r="E24" i="80"/>
  <c r="E20" i="81" l="1"/>
  <c r="D21" i="81"/>
  <c r="D24" i="81" s="1"/>
  <c r="D25" i="81" s="1"/>
  <c r="D25" i="83"/>
  <c r="D26" i="83" s="1"/>
  <c r="C151" i="89"/>
  <c r="E26" i="83"/>
  <c r="C148" i="89"/>
  <c r="K151" i="86"/>
  <c r="H151" i="86"/>
  <c r="K150" i="86"/>
  <c r="I150" i="86"/>
  <c r="G150" i="86"/>
  <c r="B104" i="89" s="1"/>
  <c r="B122" i="89" s="1"/>
  <c r="J150" i="86"/>
  <c r="D150" i="86"/>
  <c r="H150" i="86"/>
  <c r="E150" i="86"/>
  <c r="F150" i="86"/>
  <c r="C135" i="86"/>
  <c r="J151" i="86"/>
  <c r="F151" i="86"/>
  <c r="G151" i="86"/>
  <c r="B105" i="89" s="1"/>
  <c r="B123" i="89" s="1"/>
  <c r="D151" i="86"/>
  <c r="D161" i="86" s="1"/>
  <c r="E172" i="86" s="1"/>
  <c r="D123" i="86"/>
  <c r="E148" i="86" s="1"/>
  <c r="E151" i="86"/>
  <c r="I151" i="86"/>
  <c r="D114" i="86"/>
  <c r="E171" i="86" s="1"/>
  <c r="E101" i="86"/>
  <c r="E122" i="86" s="1"/>
  <c r="F147" i="86" s="1"/>
  <c r="D173" i="86"/>
  <c r="G24" i="84"/>
  <c r="F26" i="84"/>
  <c r="G24" i="83"/>
  <c r="F26" i="83"/>
  <c r="E25" i="80"/>
  <c r="E28" i="80" s="1"/>
  <c r="E29" i="80" s="1"/>
  <c r="F24" i="80"/>
  <c r="H148" i="89" l="1"/>
  <c r="B168" i="89" s="1"/>
  <c r="C168" i="89" s="1"/>
  <c r="D168" i="89" s="1"/>
  <c r="E168" i="89" s="1"/>
  <c r="F168" i="89" s="1"/>
  <c r="G168" i="89" s="1"/>
  <c r="H168" i="89" s="1"/>
  <c r="I168" i="89" s="1"/>
  <c r="J168" i="89" s="1"/>
  <c r="K168" i="89" s="1"/>
  <c r="B214" i="89"/>
  <c r="B217" i="89"/>
  <c r="H151" i="89"/>
  <c r="B171" i="89" s="1"/>
  <c r="C171" i="89" s="1"/>
  <c r="D171" i="89" s="1"/>
  <c r="E171" i="89" s="1"/>
  <c r="F171" i="89" s="1"/>
  <c r="G171" i="89" s="1"/>
  <c r="H171" i="89" s="1"/>
  <c r="I171" i="89" s="1"/>
  <c r="J171" i="89" s="1"/>
  <c r="K171" i="89" s="1"/>
  <c r="C149" i="89"/>
  <c r="C150" i="89"/>
  <c r="F20" i="81"/>
  <c r="E21" i="81"/>
  <c r="E24" i="81" s="1"/>
  <c r="E25" i="81" s="1"/>
  <c r="E123" i="86"/>
  <c r="F148" i="86" s="1"/>
  <c r="F161" i="86" s="1"/>
  <c r="G172" i="86" s="1"/>
  <c r="E161" i="86"/>
  <c r="F172" i="86" s="1"/>
  <c r="E173" i="86"/>
  <c r="D135" i="86"/>
  <c r="E114" i="86"/>
  <c r="F171" i="86" s="1"/>
  <c r="F101" i="86"/>
  <c r="F122" i="86" s="1"/>
  <c r="G147" i="86" s="1"/>
  <c r="B101" i="89" s="1"/>
  <c r="B119" i="89" s="1"/>
  <c r="C146" i="89" s="1"/>
  <c r="H146" i="89" s="1"/>
  <c r="B166" i="89" s="1"/>
  <c r="B187" i="89" s="1"/>
  <c r="G26" i="84"/>
  <c r="H24" i="84"/>
  <c r="G26" i="83"/>
  <c r="H24" i="83"/>
  <c r="F25" i="80"/>
  <c r="F28" i="80" s="1"/>
  <c r="F29" i="80" s="1"/>
  <c r="G24" i="80"/>
  <c r="B189" i="89" l="1"/>
  <c r="B216" i="89"/>
  <c r="H150" i="89"/>
  <c r="B170" i="89" s="1"/>
  <c r="B191" i="89" s="1"/>
  <c r="B192" i="89"/>
  <c r="C192" i="89" s="1"/>
  <c r="D192" i="89" s="1"/>
  <c r="E192" i="89" s="1"/>
  <c r="F192" i="89" s="1"/>
  <c r="G192" i="89" s="1"/>
  <c r="H192" i="89" s="1"/>
  <c r="I192" i="89" s="1"/>
  <c r="J192" i="89" s="1"/>
  <c r="K192" i="89" s="1"/>
  <c r="L217" i="89" s="1"/>
  <c r="B215" i="89"/>
  <c r="H149" i="89"/>
  <c r="B169" i="89" s="1"/>
  <c r="C169" i="89" s="1"/>
  <c r="D169" i="89" s="1"/>
  <c r="E169" i="89" s="1"/>
  <c r="F169" i="89" s="1"/>
  <c r="G169" i="89" s="1"/>
  <c r="H169" i="89" s="1"/>
  <c r="I169" i="89" s="1"/>
  <c r="J169" i="89" s="1"/>
  <c r="K169" i="89" s="1"/>
  <c r="F21" i="81"/>
  <c r="F24" i="81" s="1"/>
  <c r="F25" i="81" s="1"/>
  <c r="G20" i="81"/>
  <c r="F173" i="86"/>
  <c r="C189" i="89"/>
  <c r="D189" i="89" s="1"/>
  <c r="E189" i="89" s="1"/>
  <c r="F189" i="89" s="1"/>
  <c r="G189" i="89" s="1"/>
  <c r="H189" i="89" s="1"/>
  <c r="I189" i="89" s="1"/>
  <c r="J189" i="89" s="1"/>
  <c r="K189" i="89" s="1"/>
  <c r="L214" i="89" s="1"/>
  <c r="C214" i="89"/>
  <c r="C217" i="89"/>
  <c r="B212" i="89"/>
  <c r="E135" i="86"/>
  <c r="F123" i="86"/>
  <c r="G148" i="86" s="1"/>
  <c r="F114" i="86"/>
  <c r="G171" i="86" s="1"/>
  <c r="G173" i="86" s="1"/>
  <c r="G101" i="86"/>
  <c r="G122" i="86" s="1"/>
  <c r="H147" i="86" s="1"/>
  <c r="H26" i="84"/>
  <c r="I24" i="84"/>
  <c r="I24" i="83"/>
  <c r="H26" i="83"/>
  <c r="G25" i="80"/>
  <c r="G28" i="80" s="1"/>
  <c r="G29" i="80" s="1"/>
  <c r="H24" i="80"/>
  <c r="H25" i="80" s="1"/>
  <c r="H28" i="80" s="1"/>
  <c r="H29" i="80" s="1"/>
  <c r="C170" i="89" l="1"/>
  <c r="D170" i="89" s="1"/>
  <c r="E170" i="89" s="1"/>
  <c r="F170" i="89" s="1"/>
  <c r="G170" i="89" s="1"/>
  <c r="H170" i="89" s="1"/>
  <c r="I170" i="89" s="1"/>
  <c r="J170" i="89" s="1"/>
  <c r="K170" i="89" s="1"/>
  <c r="G161" i="86"/>
  <c r="H172" i="86" s="1"/>
  <c r="B102" i="89"/>
  <c r="B190" i="89"/>
  <c r="C215" i="89" s="1"/>
  <c r="G21" i="81"/>
  <c r="G24" i="81" s="1"/>
  <c r="G25" i="81" s="1"/>
  <c r="H20" i="81"/>
  <c r="H21" i="81" s="1"/>
  <c r="H24" i="81" s="1"/>
  <c r="H25" i="81" s="1"/>
  <c r="K214" i="89"/>
  <c r="K217" i="89"/>
  <c r="F217" i="89"/>
  <c r="J217" i="89"/>
  <c r="H217" i="89"/>
  <c r="G217" i="89"/>
  <c r="E217" i="89"/>
  <c r="J214" i="89"/>
  <c r="D217" i="89"/>
  <c r="I217" i="89"/>
  <c r="F214" i="89"/>
  <c r="E214" i="89"/>
  <c r="I214" i="89"/>
  <c r="H214" i="89"/>
  <c r="D214" i="89"/>
  <c r="G214" i="89"/>
  <c r="C191" i="89"/>
  <c r="C216" i="89"/>
  <c r="C166" i="89"/>
  <c r="C187" i="89" s="1"/>
  <c r="C212" i="89"/>
  <c r="G123" i="86"/>
  <c r="H148" i="86" s="1"/>
  <c r="H161" i="86" s="1"/>
  <c r="I172" i="86" s="1"/>
  <c r="F135" i="86"/>
  <c r="H101" i="86"/>
  <c r="H122" i="86" s="1"/>
  <c r="I147" i="86" s="1"/>
  <c r="G114" i="86"/>
  <c r="H171" i="86" s="1"/>
  <c r="I26" i="84"/>
  <c r="J24" i="84"/>
  <c r="I26" i="83"/>
  <c r="J24" i="83"/>
  <c r="I29" i="80"/>
  <c r="I31" i="80" s="1"/>
  <c r="H173" i="86" l="1"/>
  <c r="I25" i="81"/>
  <c r="I27" i="81" s="1"/>
  <c r="B120" i="89"/>
  <c r="C147" i="89" s="1"/>
  <c r="B111" i="89"/>
  <c r="C190" i="89"/>
  <c r="D215" i="89" s="1"/>
  <c r="D191" i="89"/>
  <c r="D216" i="89"/>
  <c r="D190" i="89"/>
  <c r="D166" i="89"/>
  <c r="G135" i="86"/>
  <c r="H123" i="86"/>
  <c r="I148" i="86" s="1"/>
  <c r="I161" i="86" s="1"/>
  <c r="J172" i="86" s="1"/>
  <c r="I101" i="86"/>
  <c r="I122" i="86" s="1"/>
  <c r="J147" i="86" s="1"/>
  <c r="H114" i="86"/>
  <c r="I171" i="86" s="1"/>
  <c r="I173" i="86" s="1"/>
  <c r="J26" i="84"/>
  <c r="K24" i="84"/>
  <c r="J26" i="83"/>
  <c r="K24" i="83"/>
  <c r="B213" i="89" l="1"/>
  <c r="H147" i="89"/>
  <c r="B167" i="89" s="1"/>
  <c r="E191" i="89"/>
  <c r="E216" i="89"/>
  <c r="E190" i="89"/>
  <c r="E215" i="89"/>
  <c r="I123" i="86"/>
  <c r="J148" i="86" s="1"/>
  <c r="J161" i="86" s="1"/>
  <c r="K172" i="86" s="1"/>
  <c r="I114" i="86"/>
  <c r="J171" i="86" s="1"/>
  <c r="J173" i="86" s="1"/>
  <c r="D187" i="89"/>
  <c r="D212" i="89"/>
  <c r="E166" i="89"/>
  <c r="J101" i="86"/>
  <c r="J122" i="86" s="1"/>
  <c r="K147" i="86" s="1"/>
  <c r="H135" i="86"/>
  <c r="K26" i="84"/>
  <c r="L24" i="84"/>
  <c r="K26" i="83"/>
  <c r="L24" i="83"/>
  <c r="C167" i="89" l="1"/>
  <c r="D167" i="89" s="1"/>
  <c r="E167" i="89" s="1"/>
  <c r="F167" i="89" s="1"/>
  <c r="G167" i="89" s="1"/>
  <c r="H167" i="89" s="1"/>
  <c r="I167" i="89" s="1"/>
  <c r="J167" i="89" s="1"/>
  <c r="K167" i="89" s="1"/>
  <c r="B188" i="89"/>
  <c r="I135" i="86"/>
  <c r="J123" i="86"/>
  <c r="K148" i="86" s="1"/>
  <c r="K161" i="86" s="1"/>
  <c r="L172" i="86" s="1"/>
  <c r="F191" i="89"/>
  <c r="F216" i="89"/>
  <c r="F190" i="89"/>
  <c r="F215" i="89"/>
  <c r="F166" i="89"/>
  <c r="E187" i="89"/>
  <c r="E212" i="89"/>
  <c r="J114" i="86"/>
  <c r="K171" i="86" s="1"/>
  <c r="K173" i="86" s="1"/>
  <c r="K101" i="86"/>
  <c r="K114" i="86" s="1"/>
  <c r="L171" i="86" s="1"/>
  <c r="L26" i="84"/>
  <c r="M24" i="84"/>
  <c r="M26" i="84" s="1"/>
  <c r="L26" i="83"/>
  <c r="M24" i="83"/>
  <c r="M26" i="83" s="1"/>
  <c r="C213" i="89" l="1"/>
  <c r="C188" i="89"/>
  <c r="L173" i="86"/>
  <c r="J135" i="86"/>
  <c r="K123" i="86"/>
  <c r="L148" i="86" s="1"/>
  <c r="G191" i="89"/>
  <c r="G216" i="89"/>
  <c r="G190" i="89"/>
  <c r="G215" i="89"/>
  <c r="B173" i="86"/>
  <c r="F187" i="89"/>
  <c r="F212" i="89"/>
  <c r="G166" i="89"/>
  <c r="K122" i="86"/>
  <c r="L147" i="86" s="1"/>
  <c r="C20" i="79"/>
  <c r="C19" i="79"/>
  <c r="C15" i="79"/>
  <c r="C12" i="79"/>
  <c r="C11" i="79"/>
  <c r="C8" i="79"/>
  <c r="D188" i="89" l="1"/>
  <c r="D213" i="89"/>
  <c r="H191" i="89"/>
  <c r="H216" i="89"/>
  <c r="H190" i="89"/>
  <c r="H215" i="89"/>
  <c r="H166" i="89"/>
  <c r="G187" i="89"/>
  <c r="G212" i="89"/>
  <c r="L161" i="86"/>
  <c r="K135" i="86"/>
  <c r="C21" i="79"/>
  <c r="C25" i="79" s="1"/>
  <c r="C13" i="79"/>
  <c r="C24" i="79" s="1"/>
  <c r="D24" i="79" s="1"/>
  <c r="E188" i="89" l="1"/>
  <c r="E213" i="89"/>
  <c r="E25" i="79"/>
  <c r="F25" i="79" s="1"/>
  <c r="J25" i="79"/>
  <c r="K25" i="79" s="1"/>
  <c r="L25" i="79" s="1"/>
  <c r="M25" i="79" s="1"/>
  <c r="E24" i="79"/>
  <c r="F24" i="79" s="1"/>
  <c r="G24" i="79" s="1"/>
  <c r="C71" i="89"/>
  <c r="I191" i="89"/>
  <c r="I216" i="89"/>
  <c r="I190" i="89"/>
  <c r="I215" i="89"/>
  <c r="H187" i="89"/>
  <c r="H212" i="89"/>
  <c r="I166" i="89"/>
  <c r="D71" i="89"/>
  <c r="H24" i="79" l="1"/>
  <c r="F71" i="89"/>
  <c r="F188" i="89"/>
  <c r="F213" i="89"/>
  <c r="D25" i="79"/>
  <c r="D26" i="79" s="1"/>
  <c r="J191" i="89"/>
  <c r="J216" i="89"/>
  <c r="J190" i="89"/>
  <c r="J215" i="89"/>
  <c r="J166" i="89"/>
  <c r="I187" i="89"/>
  <c r="I212" i="89"/>
  <c r="G25" i="79"/>
  <c r="H25" i="79" s="1"/>
  <c r="I25" i="79" s="1"/>
  <c r="E26" i="79"/>
  <c r="G188" i="89" l="1"/>
  <c r="G213" i="89"/>
  <c r="I24" i="79"/>
  <c r="J24" i="79" s="1"/>
  <c r="K24" i="79" s="1"/>
  <c r="L24" i="79" s="1"/>
  <c r="M24" i="79" s="1"/>
  <c r="G71" i="89"/>
  <c r="F26" i="79"/>
  <c r="E71" i="89"/>
  <c r="K191" i="89"/>
  <c r="L216" i="89" s="1"/>
  <c r="K216" i="89"/>
  <c r="K190" i="89"/>
  <c r="L215" i="89" s="1"/>
  <c r="K215" i="89"/>
  <c r="J187" i="89"/>
  <c r="J212" i="89"/>
  <c r="K166" i="89"/>
  <c r="H188" i="89" l="1"/>
  <c r="H213" i="89"/>
  <c r="G26" i="79"/>
  <c r="K187" i="89"/>
  <c r="K212" i="89"/>
  <c r="I188" i="89" l="1"/>
  <c r="I213" i="89"/>
  <c r="L212" i="89"/>
  <c r="H26" i="79"/>
  <c r="I26" i="79"/>
  <c r="J188" i="89" l="1"/>
  <c r="J213" i="89"/>
  <c r="J26" i="79"/>
  <c r="K188" i="89" l="1"/>
  <c r="L213" i="89" s="1"/>
  <c r="K213" i="89"/>
  <c r="K26" i="79"/>
  <c r="L26" i="79" l="1"/>
  <c r="M26" i="79" l="1"/>
  <c r="F4" i="59" l="1"/>
  <c r="G4" i="59"/>
  <c r="H4" i="59" s="1"/>
  <c r="F5" i="59"/>
  <c r="G5" i="59"/>
  <c r="H5" i="59"/>
  <c r="F6" i="59"/>
  <c r="H6" i="59" s="1"/>
  <c r="G6" i="59"/>
  <c r="F7" i="59"/>
  <c r="G7" i="59"/>
  <c r="F8" i="59"/>
  <c r="G8" i="59"/>
  <c r="F9" i="59"/>
  <c r="G9" i="59"/>
  <c r="H9" i="59"/>
  <c r="F10" i="59"/>
  <c r="G10" i="59"/>
  <c r="F11" i="59"/>
  <c r="G11" i="59"/>
  <c r="F12" i="59"/>
  <c r="G12" i="59"/>
  <c r="F13" i="59"/>
  <c r="G13" i="59"/>
  <c r="H13" i="59" s="1"/>
  <c r="F14" i="59"/>
  <c r="G14" i="59"/>
  <c r="F15" i="59"/>
  <c r="G15" i="59"/>
  <c r="D16" i="59"/>
  <c r="F16" i="59" s="1"/>
  <c r="E16" i="59"/>
  <c r="G16" i="59" s="1"/>
  <c r="C29" i="67"/>
  <c r="C11" i="67"/>
  <c r="C5" i="67"/>
  <c r="D95" i="64"/>
  <c r="D77" i="64"/>
  <c r="D79" i="64" s="1"/>
  <c r="D86" i="64" s="1"/>
  <c r="H73" i="64"/>
  <c r="G72" i="64"/>
  <c r="H72" i="64" s="1"/>
  <c r="G61" i="64"/>
  <c r="H61" i="64" s="1"/>
  <c r="G44" i="64"/>
  <c r="H44" i="64" s="1"/>
  <c r="G32" i="64"/>
  <c r="H32" i="64" s="1"/>
  <c r="E15" i="64"/>
  <c r="H15" i="64" s="1"/>
  <c r="C25" i="64" s="1"/>
  <c r="C29" i="61"/>
  <c r="C14" i="61"/>
  <c r="C23" i="61" s="1"/>
  <c r="C11" i="61"/>
  <c r="C5" i="61"/>
  <c r="H10" i="59" l="1"/>
  <c r="H8" i="59"/>
  <c r="H15" i="59"/>
  <c r="H11" i="59"/>
  <c r="E62" i="64"/>
  <c r="H62" i="64" s="1"/>
  <c r="H63" i="64" s="1"/>
  <c r="D66" i="64" s="1"/>
  <c r="E66" i="64" s="1"/>
  <c r="F66" i="64" s="1"/>
  <c r="G66" i="64" s="1"/>
  <c r="H66" i="64" s="1"/>
  <c r="H33" i="64"/>
  <c r="H34" i="64" s="1"/>
  <c r="D37" i="64" s="1"/>
  <c r="E37" i="64" s="1"/>
  <c r="E45" i="64"/>
  <c r="H45" i="64" s="1"/>
  <c r="H46" i="64" s="1"/>
  <c r="D49" i="64" s="1"/>
  <c r="E49" i="64" s="1"/>
  <c r="F49" i="64" s="1"/>
  <c r="G49" i="64" s="1"/>
  <c r="H49" i="64" s="1"/>
  <c r="H14" i="59"/>
  <c r="H12" i="59"/>
  <c r="H7" i="59"/>
  <c r="E95" i="64"/>
  <c r="H16" i="59"/>
  <c r="C32" i="65"/>
  <c r="D29" i="67"/>
  <c r="H15" i="71"/>
  <c r="E77" i="64"/>
  <c r="D29" i="61"/>
  <c r="D30" i="61" s="1"/>
  <c r="C19" i="61"/>
  <c r="G23" i="61" s="1"/>
  <c r="D99" i="59"/>
  <c r="D81" i="59"/>
  <c r="E81" i="59" s="1"/>
  <c r="H77" i="59"/>
  <c r="G76" i="59"/>
  <c r="H76" i="59" s="1"/>
  <c r="G65" i="59"/>
  <c r="H65" i="59" s="1"/>
  <c r="G48" i="59"/>
  <c r="H48" i="59" s="1"/>
  <c r="E49" i="59"/>
  <c r="H49" i="59" s="1"/>
  <c r="G36" i="59"/>
  <c r="H36" i="59" s="1"/>
  <c r="H20" i="59"/>
  <c r="D30" i="67" l="1"/>
  <c r="D35" i="67" s="1"/>
  <c r="H23" i="61"/>
  <c r="H24" i="61" s="1"/>
  <c r="D23" i="61"/>
  <c r="I23" i="61"/>
  <c r="D25" i="64"/>
  <c r="E25" i="64" s="1"/>
  <c r="E99" i="59"/>
  <c r="D61" i="71"/>
  <c r="D35" i="61"/>
  <c r="F95" i="64"/>
  <c r="D83" i="59"/>
  <c r="D90" i="59" s="1"/>
  <c r="E29" i="67"/>
  <c r="F77" i="64"/>
  <c r="E79" i="64"/>
  <c r="E86" i="64" s="1"/>
  <c r="F37" i="64"/>
  <c r="E29" i="61"/>
  <c r="H22" i="59"/>
  <c r="H25" i="59" s="1"/>
  <c r="E66" i="59"/>
  <c r="H66" i="59" s="1"/>
  <c r="H67" i="59" s="1"/>
  <c r="D70" i="59" s="1"/>
  <c r="E70" i="59" s="1"/>
  <c r="F70" i="59" s="1"/>
  <c r="G70" i="59" s="1"/>
  <c r="H70" i="59" s="1"/>
  <c r="H37" i="59"/>
  <c r="H38" i="59" s="1"/>
  <c r="D41" i="59" s="1"/>
  <c r="E41" i="59" s="1"/>
  <c r="F41" i="59" s="1"/>
  <c r="H50" i="59"/>
  <c r="D53" i="59" s="1"/>
  <c r="E53" i="59" s="1"/>
  <c r="F53" i="59" s="1"/>
  <c r="G53" i="59" s="1"/>
  <c r="H53" i="59" s="1"/>
  <c r="E83" i="59"/>
  <c r="E90" i="59" s="1"/>
  <c r="F81" i="59"/>
  <c r="C29" i="59"/>
  <c r="H25" i="61" l="1"/>
  <c r="H24" i="71"/>
  <c r="H26" i="71" s="1"/>
  <c r="F30" i="71" s="1"/>
  <c r="G30" i="71" s="1"/>
  <c r="H30" i="71" s="1"/>
  <c r="E30" i="67"/>
  <c r="E35" i="67" s="1"/>
  <c r="E23" i="61"/>
  <c r="F23" i="61" s="1"/>
  <c r="G25" i="61" s="1"/>
  <c r="E25" i="61"/>
  <c r="D25" i="61"/>
  <c r="D34" i="61" s="1"/>
  <c r="D36" i="61" s="1"/>
  <c r="I25" i="61"/>
  <c r="E30" i="61"/>
  <c r="E35" i="61" s="1"/>
  <c r="I24" i="61"/>
  <c r="J23" i="61"/>
  <c r="J25" i="61" s="1"/>
  <c r="G95" i="64"/>
  <c r="F99" i="59"/>
  <c r="E61" i="71"/>
  <c r="D29" i="59"/>
  <c r="E29" i="59" s="1"/>
  <c r="D36" i="67"/>
  <c r="D37" i="65" s="1"/>
  <c r="D24" i="67"/>
  <c r="F29" i="67"/>
  <c r="K24" i="67"/>
  <c r="F25" i="64"/>
  <c r="G77" i="64"/>
  <c r="F79" i="64"/>
  <c r="F86" i="64" s="1"/>
  <c r="G37" i="64"/>
  <c r="F29" i="61"/>
  <c r="D24" i="61"/>
  <c r="G41" i="59"/>
  <c r="H41" i="59" s="1"/>
  <c r="F83" i="59"/>
  <c r="F90" i="59" s="1"/>
  <c r="G81" i="59"/>
  <c r="F30" i="67" l="1"/>
  <c r="F35" i="67" s="1"/>
  <c r="D33" i="71"/>
  <c r="F30" i="61"/>
  <c r="E24" i="61"/>
  <c r="F25" i="61"/>
  <c r="J24" i="61"/>
  <c r="F24" i="61"/>
  <c r="G24" i="61"/>
  <c r="D36" i="65"/>
  <c r="D32" i="71"/>
  <c r="D27" i="64"/>
  <c r="D92" i="64" s="1"/>
  <c r="F35" i="61"/>
  <c r="G99" i="59"/>
  <c r="F61" i="71"/>
  <c r="H95" i="64"/>
  <c r="E24" i="67"/>
  <c r="E36" i="67"/>
  <c r="F24" i="67"/>
  <c r="G29" i="67"/>
  <c r="L24" i="67"/>
  <c r="G79" i="64"/>
  <c r="G86" i="64" s="1"/>
  <c r="H77" i="64"/>
  <c r="H79" i="64" s="1"/>
  <c r="H86" i="64" s="1"/>
  <c r="H37" i="64"/>
  <c r="G25" i="64"/>
  <c r="G29" i="61"/>
  <c r="G30" i="61" s="1"/>
  <c r="E34" i="61"/>
  <c r="E36" i="61" s="1"/>
  <c r="F29" i="59"/>
  <c r="G83" i="59"/>
  <c r="G90" i="59" s="1"/>
  <c r="H81" i="59"/>
  <c r="H83" i="59" s="1"/>
  <c r="H90" i="59" s="1"/>
  <c r="G30" i="67" l="1"/>
  <c r="G35" i="67" s="1"/>
  <c r="E37" i="65"/>
  <c r="E33" i="71"/>
  <c r="E36" i="65"/>
  <c r="E32" i="71"/>
  <c r="H99" i="59"/>
  <c r="H61" i="71" s="1"/>
  <c r="G61" i="71"/>
  <c r="G35" i="61"/>
  <c r="E27" i="64"/>
  <c r="E92" i="64" s="1"/>
  <c r="F34" i="61"/>
  <c r="F36" i="61" s="1"/>
  <c r="H29" i="67"/>
  <c r="G24" i="67"/>
  <c r="F36" i="67"/>
  <c r="H25" i="64"/>
  <c r="K23" i="61"/>
  <c r="H29" i="61"/>
  <c r="G29" i="59"/>
  <c r="H30" i="67" l="1"/>
  <c r="H35" i="67" s="1"/>
  <c r="F37" i="65"/>
  <c r="F33" i="71"/>
  <c r="K25" i="61"/>
  <c r="K34" i="61" s="1"/>
  <c r="H30" i="61"/>
  <c r="H35" i="61" s="1"/>
  <c r="K24" i="61"/>
  <c r="F36" i="65"/>
  <c r="F32" i="71"/>
  <c r="G34" i="61"/>
  <c r="G36" i="61" s="1"/>
  <c r="F27" i="64"/>
  <c r="F92" i="64" s="1"/>
  <c r="M24" i="67"/>
  <c r="G36" i="67"/>
  <c r="I29" i="67"/>
  <c r="H24" i="67"/>
  <c r="H36" i="67"/>
  <c r="L23" i="61"/>
  <c r="I29" i="61"/>
  <c r="I30" i="61" s="1"/>
  <c r="H34" i="61"/>
  <c r="H29" i="59"/>
  <c r="I30" i="67" l="1"/>
  <c r="I35" i="67" s="1"/>
  <c r="H37" i="65"/>
  <c r="H33" i="71"/>
  <c r="G37" i="65"/>
  <c r="G33" i="71"/>
  <c r="L25" i="61"/>
  <c r="L34" i="61" s="1"/>
  <c r="H36" i="61"/>
  <c r="H36" i="65" s="1"/>
  <c r="L24" i="61"/>
  <c r="G36" i="65"/>
  <c r="G32" i="71"/>
  <c r="I34" i="61"/>
  <c r="G27" i="64"/>
  <c r="G92" i="64" s="1"/>
  <c r="D64" i="71"/>
  <c r="H27" i="64"/>
  <c r="H92" i="64" s="1"/>
  <c r="I35" i="61"/>
  <c r="D67" i="64"/>
  <c r="D68" i="64" s="1"/>
  <c r="D85" i="64" s="1"/>
  <c r="D46" i="71" s="1"/>
  <c r="D50" i="64"/>
  <c r="D51" i="64" s="1"/>
  <c r="D56" i="64" s="1"/>
  <c r="D39" i="64"/>
  <c r="D55" i="64" s="1"/>
  <c r="J29" i="67"/>
  <c r="I24" i="67"/>
  <c r="J24" i="67"/>
  <c r="E64" i="71"/>
  <c r="M23" i="61"/>
  <c r="M25" i="61" s="1"/>
  <c r="J29" i="61"/>
  <c r="H32" i="71" l="1"/>
  <c r="J30" i="67"/>
  <c r="J35" i="67" s="1"/>
  <c r="J30" i="61"/>
  <c r="J35" i="61" s="1"/>
  <c r="M24" i="61"/>
  <c r="D57" i="64"/>
  <c r="D84" i="64" s="1"/>
  <c r="D42" i="71" s="1"/>
  <c r="I36" i="61"/>
  <c r="J34" i="61"/>
  <c r="E50" i="64"/>
  <c r="E51" i="64" s="1"/>
  <c r="E56" i="64" s="1"/>
  <c r="E67" i="64"/>
  <c r="E68" i="64" s="1"/>
  <c r="E85" i="64" s="1"/>
  <c r="E46" i="71" s="1"/>
  <c r="E39" i="64"/>
  <c r="E55" i="64" s="1"/>
  <c r="K29" i="67"/>
  <c r="J36" i="67"/>
  <c r="I36" i="67"/>
  <c r="F64" i="71"/>
  <c r="G64" i="71"/>
  <c r="M34" i="61"/>
  <c r="K29" i="61"/>
  <c r="K30" i="61" s="1"/>
  <c r="K30" i="67" l="1"/>
  <c r="K35" i="67" s="1"/>
  <c r="K36" i="67" s="1"/>
  <c r="D87" i="64"/>
  <c r="D93" i="64" s="1"/>
  <c r="D96" i="64" s="1"/>
  <c r="H64" i="71"/>
  <c r="K35" i="61"/>
  <c r="K36" i="61" s="1"/>
  <c r="H67" i="64"/>
  <c r="H68" i="64" s="1"/>
  <c r="H85" i="64" s="1"/>
  <c r="H46" i="71" s="1"/>
  <c r="H50" i="64"/>
  <c r="H51" i="64" s="1"/>
  <c r="H56" i="64" s="1"/>
  <c r="H39" i="64"/>
  <c r="H55" i="64" s="1"/>
  <c r="I98" i="64"/>
  <c r="G67" i="64"/>
  <c r="G68" i="64" s="1"/>
  <c r="G85" i="64" s="1"/>
  <c r="G46" i="71" s="1"/>
  <c r="G50" i="64"/>
  <c r="G51" i="64" s="1"/>
  <c r="G56" i="64" s="1"/>
  <c r="G39" i="64"/>
  <c r="G55" i="64" s="1"/>
  <c r="D32" i="65"/>
  <c r="F67" i="64"/>
  <c r="F68" i="64" s="1"/>
  <c r="F85" i="64" s="1"/>
  <c r="F46" i="71" s="1"/>
  <c r="F50" i="64"/>
  <c r="F51" i="64" s="1"/>
  <c r="F56" i="64" s="1"/>
  <c r="F39" i="64"/>
  <c r="F55" i="64" s="1"/>
  <c r="E57" i="64"/>
  <c r="E84" i="64" s="1"/>
  <c r="J36" i="61"/>
  <c r="L29" i="67"/>
  <c r="L29" i="61"/>
  <c r="L30" i="61" s="1"/>
  <c r="C5" i="53"/>
  <c r="C30" i="53"/>
  <c r="C14" i="53"/>
  <c r="C11" i="53"/>
  <c r="L30" i="67" l="1"/>
  <c r="L35" i="67" s="1"/>
  <c r="L36" i="67" s="1"/>
  <c r="L35" i="61"/>
  <c r="L36" i="61" s="1"/>
  <c r="H57" i="64"/>
  <c r="H84" i="64" s="1"/>
  <c r="H87" i="64" s="1"/>
  <c r="H93" i="64" s="1"/>
  <c r="H96" i="64" s="1"/>
  <c r="F57" i="64"/>
  <c r="F84" i="64" s="1"/>
  <c r="F87" i="64" s="1"/>
  <c r="F93" i="64" s="1"/>
  <c r="F96" i="64" s="1"/>
  <c r="E87" i="64"/>
  <c r="E93" i="64" s="1"/>
  <c r="E96" i="64" s="1"/>
  <c r="E42" i="71"/>
  <c r="E32" i="65"/>
  <c r="G57" i="64"/>
  <c r="G84" i="64" s="1"/>
  <c r="M29" i="67"/>
  <c r="M30" i="67" s="1"/>
  <c r="M35" i="67" s="1"/>
  <c r="M29" i="61"/>
  <c r="M30" i="61" s="1"/>
  <c r="D30" i="53"/>
  <c r="C23" i="53"/>
  <c r="C19" i="53"/>
  <c r="E23" i="53" s="1"/>
  <c r="F23" i="53" l="1"/>
  <c r="F25" i="53"/>
  <c r="F35" i="53" s="1"/>
  <c r="D23" i="53"/>
  <c r="E30" i="53"/>
  <c r="E31" i="53" s="1"/>
  <c r="E36" i="53" s="1"/>
  <c r="D31" i="53"/>
  <c r="D36" i="53" s="1"/>
  <c r="G23" i="53"/>
  <c r="F42" i="71"/>
  <c r="H42" i="71"/>
  <c r="F32" i="65"/>
  <c r="G87" i="64"/>
  <c r="G93" i="64" s="1"/>
  <c r="G96" i="64" s="1"/>
  <c r="I96" i="64" s="1"/>
  <c r="I99" i="64" s="1"/>
  <c r="G42" i="71"/>
  <c r="M36" i="67"/>
  <c r="M35" i="61"/>
  <c r="M36" i="61" s="1"/>
  <c r="D24" i="53" l="1"/>
  <c r="E25" i="53"/>
  <c r="E35" i="53" s="1"/>
  <c r="E24" i="53"/>
  <c r="F30" i="53"/>
  <c r="F31" i="53" s="1"/>
  <c r="F36" i="53" s="1"/>
  <c r="G24" i="53"/>
  <c r="D25" i="53"/>
  <c r="D35" i="53" s="1"/>
  <c r="D37" i="53" s="1"/>
  <c r="F24" i="53"/>
  <c r="G25" i="53"/>
  <c r="G35" i="53" s="1"/>
  <c r="H23" i="53"/>
  <c r="H32" i="65"/>
  <c r="G32" i="65"/>
  <c r="E37" i="53"/>
  <c r="G30" i="53"/>
  <c r="H24" i="53" l="1"/>
  <c r="H25" i="53"/>
  <c r="H35" i="53" s="1"/>
  <c r="G31" i="53"/>
  <c r="G36" i="53" s="1"/>
  <c r="E27" i="79"/>
  <c r="E28" i="79" s="1"/>
  <c r="D70" i="89"/>
  <c r="D72" i="89" s="1"/>
  <c r="E27" i="84"/>
  <c r="E28" i="84" s="1"/>
  <c r="E31" i="71"/>
  <c r="E27" i="83"/>
  <c r="E28" i="83" s="1"/>
  <c r="E35" i="65"/>
  <c r="C70" i="89"/>
  <c r="C72" i="89" s="1"/>
  <c r="D31" i="71"/>
  <c r="D27" i="84"/>
  <c r="D28" i="84" s="1"/>
  <c r="D27" i="83"/>
  <c r="D28" i="83" s="1"/>
  <c r="D35" i="65"/>
  <c r="D38" i="65" s="1"/>
  <c r="I23" i="53"/>
  <c r="I25" i="53" s="1"/>
  <c r="I35" i="53" s="1"/>
  <c r="D27" i="79"/>
  <c r="D28" i="79" s="1"/>
  <c r="C174" i="86" s="1"/>
  <c r="D30" i="59"/>
  <c r="D31" i="59" s="1"/>
  <c r="D96" i="59" s="1"/>
  <c r="F37" i="53"/>
  <c r="E30" i="59"/>
  <c r="E31" i="59" s="1"/>
  <c r="E96" i="59" s="1"/>
  <c r="H30" i="53"/>
  <c r="H31" i="53" s="1"/>
  <c r="H36" i="53" s="1"/>
  <c r="I24" i="53" l="1"/>
  <c r="J23" i="53"/>
  <c r="J25" i="53" s="1"/>
  <c r="J35" i="53" s="1"/>
  <c r="D173" i="90"/>
  <c r="E65" i="71"/>
  <c r="C239" i="89"/>
  <c r="C173" i="87"/>
  <c r="F27" i="79"/>
  <c r="F28" i="79" s="1"/>
  <c r="E70" i="89"/>
  <c r="E72" i="89" s="1"/>
  <c r="F27" i="84"/>
  <c r="F28" i="84" s="1"/>
  <c r="F27" i="83"/>
  <c r="F28" i="83" s="1"/>
  <c r="F31" i="71"/>
  <c r="F35" i="65"/>
  <c r="C173" i="90"/>
  <c r="D65" i="71"/>
  <c r="D173" i="87"/>
  <c r="D239" i="89"/>
  <c r="D261" i="89" s="1"/>
  <c r="D174" i="86"/>
  <c r="D34" i="71"/>
  <c r="E34" i="71"/>
  <c r="E38" i="65"/>
  <c r="F30" i="59"/>
  <c r="F31" i="59" s="1"/>
  <c r="F96" i="59" s="1"/>
  <c r="G37" i="53"/>
  <c r="I30" i="53"/>
  <c r="J24" i="53" l="1"/>
  <c r="I31" i="53"/>
  <c r="I36" i="53" s="1"/>
  <c r="G27" i="79"/>
  <c r="G28" i="79" s="1"/>
  <c r="F70" i="89"/>
  <c r="F72" i="89" s="1"/>
  <c r="B72" i="89" s="1"/>
  <c r="G31" i="71"/>
  <c r="G27" i="84"/>
  <c r="G28" i="84" s="1"/>
  <c r="G27" i="83"/>
  <c r="G28" i="83" s="1"/>
  <c r="G35" i="65"/>
  <c r="E173" i="90"/>
  <c r="F65" i="71"/>
  <c r="E239" i="89"/>
  <c r="E261" i="89" s="1"/>
  <c r="E174" i="86"/>
  <c r="C261" i="89"/>
  <c r="K23" i="53"/>
  <c r="E173" i="87"/>
  <c r="F34" i="71"/>
  <c r="F35" i="71" s="1"/>
  <c r="F55" i="71" s="1"/>
  <c r="F38" i="65"/>
  <c r="H37" i="53"/>
  <c r="G70" i="89" s="1"/>
  <c r="G72" i="89" s="1"/>
  <c r="G30" i="59"/>
  <c r="G31" i="59" s="1"/>
  <c r="G96" i="59" s="1"/>
  <c r="J30" i="53"/>
  <c r="B77" i="89" l="1"/>
  <c r="K24" i="53"/>
  <c r="K25" i="53"/>
  <c r="K35" i="53" s="1"/>
  <c r="J31" i="53"/>
  <c r="J36" i="53" s="1"/>
  <c r="H31" i="71"/>
  <c r="H27" i="83"/>
  <c r="H28" i="83" s="1"/>
  <c r="H27" i="84"/>
  <c r="H28" i="84" s="1"/>
  <c r="H35" i="65"/>
  <c r="H38" i="65" s="1"/>
  <c r="F239" i="89"/>
  <c r="F174" i="86"/>
  <c r="F173" i="87"/>
  <c r="F173" i="90"/>
  <c r="G65" i="71"/>
  <c r="H27" i="79"/>
  <c r="H28" i="79" s="1"/>
  <c r="G34" i="71"/>
  <c r="G35" i="71" s="1"/>
  <c r="G55" i="71" s="1"/>
  <c r="G38" i="65"/>
  <c r="H30" i="59"/>
  <c r="H31" i="59" s="1"/>
  <c r="H96" i="59" s="1"/>
  <c r="I37" i="53"/>
  <c r="K30" i="53"/>
  <c r="K31" i="53" s="1"/>
  <c r="K36" i="53" s="1"/>
  <c r="F261" i="89" l="1"/>
  <c r="I27" i="79"/>
  <c r="I28" i="79" s="1"/>
  <c r="I27" i="84"/>
  <c r="I28" i="84" s="1"/>
  <c r="H173" i="90" s="1"/>
  <c r="I27" i="83"/>
  <c r="I28" i="83" s="1"/>
  <c r="G239" i="89"/>
  <c r="G261" i="89" s="1"/>
  <c r="G174" i="86"/>
  <c r="G173" i="90"/>
  <c r="H65" i="71"/>
  <c r="G173" i="87"/>
  <c r="H34" i="71"/>
  <c r="H35" i="71" s="1"/>
  <c r="H55" i="71" s="1"/>
  <c r="I38" i="65"/>
  <c r="J37" i="53"/>
  <c r="L30" i="53"/>
  <c r="L31" i="53" l="1"/>
  <c r="L36" i="53" s="1"/>
  <c r="J27" i="79"/>
  <c r="J28" i="79" s="1"/>
  <c r="J27" i="84"/>
  <c r="J28" i="84" s="1"/>
  <c r="I173" i="90" s="1"/>
  <c r="J27" i="83"/>
  <c r="J28" i="83" s="1"/>
  <c r="H173" i="87"/>
  <c r="H239" i="89"/>
  <c r="H261" i="89" s="1"/>
  <c r="H174" i="86"/>
  <c r="L23" i="53"/>
  <c r="K37" i="53"/>
  <c r="M30" i="53"/>
  <c r="M31" i="53" s="1"/>
  <c r="M36" i="53" s="1"/>
  <c r="L24" i="53" l="1"/>
  <c r="L25" i="53"/>
  <c r="L35" i="53" s="1"/>
  <c r="L37" i="53" s="1"/>
  <c r="I173" i="87"/>
  <c r="I239" i="89"/>
  <c r="I261" i="89" s="1"/>
  <c r="I174" i="86"/>
  <c r="K27" i="79"/>
  <c r="K28" i="79" s="1"/>
  <c r="K27" i="84"/>
  <c r="K28" i="84" s="1"/>
  <c r="J173" i="90" s="1"/>
  <c r="K27" i="83"/>
  <c r="K28" i="83" s="1"/>
  <c r="M23" i="53"/>
  <c r="M24" i="53" s="1"/>
  <c r="M25" i="53" l="1"/>
  <c r="M35" i="53" s="1"/>
  <c r="J173" i="87"/>
  <c r="L27" i="79"/>
  <c r="L28" i="79" s="1"/>
  <c r="L27" i="84"/>
  <c r="L28" i="84" s="1"/>
  <c r="K173" i="90" s="1"/>
  <c r="L27" i="83"/>
  <c r="L28" i="83" s="1"/>
  <c r="J174" i="86"/>
  <c r="J239" i="89"/>
  <c r="M37" i="53"/>
  <c r="K239" i="89" l="1"/>
  <c r="K261" i="89" s="1"/>
  <c r="K174" i="86"/>
  <c r="M27" i="79"/>
  <c r="M28" i="79" s="1"/>
  <c r="M27" i="83"/>
  <c r="M28" i="83" s="1"/>
  <c r="M27" i="84"/>
  <c r="M28" i="84" s="1"/>
  <c r="L173" i="90" s="1"/>
  <c r="K173" i="87"/>
  <c r="J261" i="89"/>
  <c r="L239" i="89" l="1"/>
  <c r="L174" i="86"/>
  <c r="B174" i="86" s="1"/>
  <c r="B78" i="89" s="1"/>
  <c r="B173" i="90"/>
  <c r="B175" i="90" s="1"/>
  <c r="L173" i="87"/>
  <c r="B173" i="87" s="1"/>
  <c r="B176" i="86" l="1"/>
  <c r="B175" i="87"/>
  <c r="L261" i="89"/>
  <c r="B239" i="89"/>
  <c r="H7" i="65"/>
  <c r="H8" i="65"/>
  <c r="B261" i="89" l="1"/>
  <c r="H6" i="65"/>
  <c r="H5" i="65"/>
  <c r="H3" i="65"/>
  <c r="H4" i="65"/>
  <c r="H15" i="65" l="1"/>
  <c r="H21" i="71"/>
  <c r="C30" i="71" s="1"/>
  <c r="D30" i="71" s="1"/>
  <c r="H2" i="65"/>
  <c r="G9" i="65"/>
  <c r="H9" i="65" s="1"/>
  <c r="C26" i="65" s="1"/>
  <c r="E30" i="71" l="1"/>
  <c r="E35" i="71" s="1"/>
  <c r="E55" i="71" s="1"/>
  <c r="D35" i="71"/>
  <c r="D55" i="71" s="1"/>
  <c r="H22" i="65" l="1"/>
  <c r="H63" i="71"/>
  <c r="H66" i="71" s="1"/>
  <c r="F26" i="65" l="1"/>
  <c r="G26" i="65" s="1"/>
  <c r="H26" i="65" s="1"/>
  <c r="D26" i="65"/>
  <c r="E26" i="65" s="1"/>
  <c r="D63" i="71"/>
  <c r="D66" i="71" s="1"/>
  <c r="H54" i="59"/>
  <c r="H55" i="59" s="1"/>
  <c r="H60" i="59" s="1"/>
  <c r="H71" i="59"/>
  <c r="H72" i="59" s="1"/>
  <c r="H89" i="59" s="1"/>
  <c r="H45" i="71" s="1"/>
  <c r="H48" i="71" s="1"/>
  <c r="H43" i="59"/>
  <c r="H59" i="59" s="1"/>
  <c r="E27" i="65" l="1"/>
  <c r="E33" i="65" s="1"/>
  <c r="E34" i="65" s="1"/>
  <c r="D27" i="65"/>
  <c r="D33" i="65" s="1"/>
  <c r="D34" i="65" s="1"/>
  <c r="F27" i="65"/>
  <c r="E63" i="71"/>
  <c r="E66" i="71" s="1"/>
  <c r="D54" i="59"/>
  <c r="D55" i="59" s="1"/>
  <c r="D60" i="59" s="1"/>
  <c r="D71" i="59"/>
  <c r="D72" i="59" s="1"/>
  <c r="D89" i="59" s="1"/>
  <c r="D45" i="71" s="1"/>
  <c r="D48" i="71" s="1"/>
  <c r="D43" i="59"/>
  <c r="D59" i="59" s="1"/>
  <c r="H61" i="59"/>
  <c r="H88" i="59" s="1"/>
  <c r="H27" i="65" l="1"/>
  <c r="G27" i="65"/>
  <c r="F63" i="71"/>
  <c r="F66" i="71" s="1"/>
  <c r="H91" i="59"/>
  <c r="H97" i="59" s="1"/>
  <c r="H100" i="59" s="1"/>
  <c r="H41" i="71"/>
  <c r="H44" i="71" s="1"/>
  <c r="H50" i="71" s="1"/>
  <c r="H56" i="71" s="1"/>
  <c r="H62" i="71" s="1"/>
  <c r="F33" i="65"/>
  <c r="F34" i="65" s="1"/>
  <c r="D61" i="59"/>
  <c r="D88" i="59" s="1"/>
  <c r="E71" i="59"/>
  <c r="E72" i="59" s="1"/>
  <c r="E89" i="59" s="1"/>
  <c r="E45" i="71" s="1"/>
  <c r="E48" i="71" s="1"/>
  <c r="E43" i="59"/>
  <c r="E59" i="59" s="1"/>
  <c r="E54" i="59"/>
  <c r="E55" i="59" s="1"/>
  <c r="E60" i="59" s="1"/>
  <c r="H33" i="65" l="1"/>
  <c r="H34" i="65" s="1"/>
  <c r="G33" i="65"/>
  <c r="G34" i="65" s="1"/>
  <c r="D91" i="59"/>
  <c r="D97" i="59" s="1"/>
  <c r="D100" i="59" s="1"/>
  <c r="D41" i="71"/>
  <c r="D44" i="71" s="1"/>
  <c r="D50" i="71" s="1"/>
  <c r="D56" i="71" s="1"/>
  <c r="D62" i="71" s="1"/>
  <c r="E61" i="59"/>
  <c r="E88" i="59" s="1"/>
  <c r="F71" i="59"/>
  <c r="F72" i="59" s="1"/>
  <c r="F89" i="59" s="1"/>
  <c r="F45" i="71" s="1"/>
  <c r="F48" i="71" s="1"/>
  <c r="F43" i="59"/>
  <c r="F59" i="59" s="1"/>
  <c r="F54" i="59"/>
  <c r="F55" i="59" s="1"/>
  <c r="F60" i="59" s="1"/>
  <c r="G54" i="59"/>
  <c r="G55" i="59" s="1"/>
  <c r="G60" i="59" s="1"/>
  <c r="G43" i="59"/>
  <c r="G59" i="59" s="1"/>
  <c r="G71" i="59"/>
  <c r="G72" i="59" s="1"/>
  <c r="G89" i="59" s="1"/>
  <c r="G45" i="71" s="1"/>
  <c r="G48" i="71" s="1"/>
  <c r="I34" i="65" l="1"/>
  <c r="I39" i="65" s="1"/>
  <c r="E91" i="59"/>
  <c r="E97" i="59" s="1"/>
  <c r="E100" i="59" s="1"/>
  <c r="E41" i="71"/>
  <c r="E44" i="71" s="1"/>
  <c r="E50" i="71" s="1"/>
  <c r="E56" i="71" s="1"/>
  <c r="E62" i="71" s="1"/>
  <c r="G63" i="71"/>
  <c r="G66" i="71" s="1"/>
  <c r="I66" i="71" s="1"/>
  <c r="G61" i="59"/>
  <c r="G88" i="59" s="1"/>
  <c r="F61" i="59"/>
  <c r="F88" i="59" s="1"/>
  <c r="I102" i="59" l="1"/>
  <c r="F91" i="59"/>
  <c r="F97" i="59" s="1"/>
  <c r="F100" i="59" s="1"/>
  <c r="F41" i="71"/>
  <c r="F44" i="71" s="1"/>
  <c r="F50" i="71" s="1"/>
  <c r="F56" i="71" s="1"/>
  <c r="F62" i="71" s="1"/>
  <c r="G91" i="59"/>
  <c r="G97" i="59" s="1"/>
  <c r="G100" i="59" s="1"/>
  <c r="G41" i="71"/>
  <c r="G44" i="71" s="1"/>
  <c r="G50" i="71" s="1"/>
  <c r="G56" i="71" s="1"/>
  <c r="G62" i="71" s="1"/>
  <c r="I100" i="59" l="1"/>
  <c r="I103" i="59" s="1"/>
  <c r="I62" i="71"/>
  <c r="I67" i="71" s="1"/>
  <c r="D34" i="89"/>
  <c r="D38" i="89" s="1"/>
  <c r="E62" i="89" l="1"/>
  <c r="E64" i="89" s="1"/>
  <c r="D43" i="89"/>
  <c r="D53" i="89" s="1"/>
  <c r="E34" i="89"/>
  <c r="E38" i="89" l="1"/>
  <c r="F62" i="89" s="1"/>
  <c r="F34" i="89"/>
  <c r="E43" i="89"/>
  <c r="D47" i="89"/>
  <c r="D57" i="89"/>
  <c r="F63" i="89" s="1"/>
  <c r="E47" i="89" l="1"/>
  <c r="E53" i="89"/>
  <c r="E57" i="89" s="1"/>
  <c r="G63" i="89" s="1"/>
  <c r="F43" i="89"/>
  <c r="F38" i="89"/>
  <c r="G62" i="89" s="1"/>
  <c r="G34" i="89"/>
  <c r="F64" i="89"/>
  <c r="G64" i="89" l="1"/>
  <c r="F53" i="89"/>
  <c r="F57" i="89" s="1"/>
  <c r="H63" i="89" s="1"/>
  <c r="G43" i="89"/>
  <c r="F47" i="89"/>
  <c r="H34" i="89"/>
  <c r="H38" i="89" s="1"/>
  <c r="G38" i="89"/>
  <c r="H62" i="89" s="1"/>
  <c r="H64" i="89" s="1"/>
  <c r="I34" i="89" l="1"/>
  <c r="I62" i="89"/>
  <c r="G47" i="89"/>
  <c r="H43" i="89"/>
  <c r="G53" i="89"/>
  <c r="G57" i="89" s="1"/>
  <c r="I63" i="89" s="1"/>
  <c r="I43" i="89" l="1"/>
  <c r="H53" i="89"/>
  <c r="H57" i="89" s="1"/>
  <c r="J63" i="89" s="1"/>
  <c r="H47" i="89"/>
  <c r="I64" i="89"/>
  <c r="J34" i="89"/>
  <c r="I38" i="89"/>
  <c r="J62" i="89" s="1"/>
  <c r="J64" i="89" l="1"/>
  <c r="J38" i="89"/>
  <c r="K62" i="89" s="1"/>
  <c r="K34" i="89"/>
  <c r="K38" i="89" s="1"/>
  <c r="L62" i="89" s="1"/>
  <c r="J43" i="89"/>
  <c r="I47" i="89"/>
  <c r="I53" i="89"/>
  <c r="I57" i="89" s="1"/>
  <c r="K63" i="89" s="1"/>
  <c r="J47" i="89" l="1"/>
  <c r="J53" i="89"/>
  <c r="J57" i="89" s="1"/>
  <c r="L63" i="89" s="1"/>
  <c r="L64" i="89" s="1"/>
  <c r="B64" i="89" s="1"/>
  <c r="B76" i="89" s="1"/>
  <c r="B79" i="89" s="1"/>
  <c r="B84" i="89" s="1"/>
  <c r="B85" i="89" s="1"/>
  <c r="K43" i="89"/>
  <c r="K64" i="89"/>
  <c r="M14" i="89" l="1"/>
  <c r="M12" i="89"/>
  <c r="B129" i="89" s="1"/>
  <c r="M13" i="89"/>
  <c r="B130" i="89" s="1"/>
  <c r="M15" i="89"/>
  <c r="B89" i="89"/>
  <c r="B93" i="89" s="1"/>
  <c r="K53" i="89"/>
  <c r="K57" i="89" s="1"/>
  <c r="K47" i="89"/>
  <c r="C157" i="89" l="1"/>
  <c r="M16" i="89"/>
  <c r="B223" i="89" l="1"/>
  <c r="H157" i="89"/>
  <c r="B176" i="89" s="1"/>
  <c r="C176" i="89" s="1"/>
  <c r="D176" i="89" s="1"/>
  <c r="E176" i="89" s="1"/>
  <c r="F176" i="89" s="1"/>
  <c r="G176" i="89" s="1"/>
  <c r="H176" i="89" s="1"/>
  <c r="I176" i="89" s="1"/>
  <c r="J176" i="89" s="1"/>
  <c r="K176" i="89" s="1"/>
  <c r="B131" i="89"/>
  <c r="C156" i="89"/>
  <c r="B197" i="89" l="1"/>
  <c r="C197" i="89"/>
  <c r="D197" i="89" s="1"/>
  <c r="E197" i="89" s="1"/>
  <c r="F197" i="89" s="1"/>
  <c r="G197" i="89" s="1"/>
  <c r="H197" i="89" s="1"/>
  <c r="I197" i="89" s="1"/>
  <c r="J197" i="89" s="1"/>
  <c r="K197" i="89" s="1"/>
  <c r="L223" i="89" s="1"/>
  <c r="C223" i="89"/>
  <c r="D223" i="89"/>
  <c r="F223" i="89"/>
  <c r="I223" i="89"/>
  <c r="H156" i="89"/>
  <c r="B175" i="89" s="1"/>
  <c r="B222" i="89"/>
  <c r="H223" i="89" l="1"/>
  <c r="K223" i="89"/>
  <c r="G223" i="89"/>
  <c r="J223" i="89"/>
  <c r="E223" i="89"/>
  <c r="B179" i="89"/>
  <c r="C236" i="89" s="1"/>
  <c r="C175" i="89"/>
  <c r="B196" i="89"/>
  <c r="C222" i="89" s="1"/>
  <c r="C226" i="89" s="1"/>
  <c r="D237" i="89" s="1"/>
  <c r="B226" i="89"/>
  <c r="C237" i="89" s="1"/>
  <c r="C179" i="89" l="1"/>
  <c r="D236" i="89" s="1"/>
  <c r="D238" i="89" s="1"/>
  <c r="D251" i="89" s="1"/>
  <c r="D175" i="89"/>
  <c r="C196" i="89"/>
  <c r="B200" i="89"/>
  <c r="C238" i="89"/>
  <c r="C251" i="89" l="1"/>
  <c r="D196" i="89"/>
  <c r="C200" i="89"/>
  <c r="D222" i="89"/>
  <c r="D226" i="89" s="1"/>
  <c r="E237" i="89" s="1"/>
  <c r="D179" i="89"/>
  <c r="E236" i="89" s="1"/>
  <c r="E175" i="89"/>
  <c r="E238" i="89" l="1"/>
  <c r="E251" i="89" s="1"/>
  <c r="E179" i="89"/>
  <c r="F236" i="89" s="1"/>
  <c r="F175" i="89"/>
  <c r="D200" i="89"/>
  <c r="E196" i="89"/>
  <c r="E222" i="89"/>
  <c r="E226" i="89" s="1"/>
  <c r="F237" i="89" s="1"/>
  <c r="F196" i="89" l="1"/>
  <c r="E200" i="89"/>
  <c r="F222" i="89"/>
  <c r="F226" i="89" s="1"/>
  <c r="G237" i="89" s="1"/>
  <c r="G175" i="89"/>
  <c r="F179" i="89"/>
  <c r="G236" i="89" s="1"/>
  <c r="F238" i="89"/>
  <c r="G238" i="89" l="1"/>
  <c r="G251" i="89" s="1"/>
  <c r="H175" i="89"/>
  <c r="G179" i="89"/>
  <c r="H236" i="89" s="1"/>
  <c r="F251" i="89"/>
  <c r="F200" i="89"/>
  <c r="G196" i="89"/>
  <c r="G222" i="89"/>
  <c r="G226" i="89" s="1"/>
  <c r="H237" i="89" s="1"/>
  <c r="H196" i="89" l="1"/>
  <c r="G200" i="89"/>
  <c r="H222" i="89"/>
  <c r="H226" i="89" s="1"/>
  <c r="I237" i="89" s="1"/>
  <c r="I175" i="89"/>
  <c r="H179" i="89"/>
  <c r="I236" i="89" s="1"/>
  <c r="H238" i="89"/>
  <c r="I238" i="89" l="1"/>
  <c r="I251" i="89" s="1"/>
  <c r="J175" i="89"/>
  <c r="I179" i="89"/>
  <c r="J236" i="89" s="1"/>
  <c r="H251" i="89"/>
  <c r="H200" i="89"/>
  <c r="I196" i="89"/>
  <c r="I222" i="89"/>
  <c r="I226" i="89" s="1"/>
  <c r="J237" i="89" s="1"/>
  <c r="J196" i="89" l="1"/>
  <c r="I200" i="89"/>
  <c r="J222" i="89"/>
  <c r="J226" i="89" s="1"/>
  <c r="K237" i="89" s="1"/>
  <c r="J238" i="89"/>
  <c r="J179" i="89"/>
  <c r="K236" i="89" s="1"/>
  <c r="K175" i="89"/>
  <c r="K179" i="89" s="1"/>
  <c r="L236" i="89" s="1"/>
  <c r="K238" i="89" l="1"/>
  <c r="K251" i="89" s="1"/>
  <c r="J251" i="89"/>
  <c r="K196" i="89"/>
  <c r="J200" i="89"/>
  <c r="K222" i="89"/>
  <c r="K226" i="89" s="1"/>
  <c r="L237" i="89" s="1"/>
  <c r="L238" i="89" s="1"/>
  <c r="L251" i="89" l="1"/>
  <c r="B251" i="89" s="1"/>
  <c r="B266" i="89" s="1"/>
  <c r="B238" i="89"/>
  <c r="K200" i="89"/>
  <c r="L222" i="89"/>
  <c r="L226" i="8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Yenny Patricia Sanchez Sanchez</author>
  </authors>
  <commentList>
    <comment ref="A1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Yenny Patricia Sanchez Sanchez:</t>
        </r>
        <r>
          <rPr>
            <sz val="9"/>
            <color indexed="81"/>
            <rFont val="Tahoma"/>
            <family val="2"/>
          </rPr>
          <t xml:space="preserve">
Verificar fórmula artículo 16</t>
        </r>
      </text>
    </comment>
    <comment ref="A21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Yenny Patricia Sanchez Sanchez:</t>
        </r>
        <r>
          <rPr>
            <sz val="9"/>
            <color indexed="81"/>
            <rFont val="Tahoma"/>
            <family val="2"/>
          </rPr>
          <t xml:space="preserve">
Verificar fórmula articulo 18</t>
        </r>
      </text>
    </comment>
    <comment ref="A24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Yenny Patricia Sanchez Sanchez:</t>
        </r>
        <r>
          <rPr>
            <sz val="9"/>
            <color indexed="81"/>
            <rFont val="Tahoma"/>
            <family val="2"/>
          </rPr>
          <t xml:space="preserve">
Las metas son libres pero deben ser concordantes con el Plan de Reducción de Pérdidas </t>
        </r>
      </text>
    </comment>
    <comment ref="A25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Yenny Patricia Sanchez Sanchez:</t>
        </r>
        <r>
          <rPr>
            <sz val="9"/>
            <color indexed="81"/>
            <rFont val="Tahoma"/>
            <family val="2"/>
          </rPr>
          <t xml:space="preserve">
Verificar las metas del año 5 y año 10 según artículo 9. Las demás metas son libres pero deben ser concordantes con el Plan de Reducción de Pérdidas </t>
        </r>
      </text>
    </comment>
    <comment ref="A26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Yenny Patricia Sanchez Sanchez:</t>
        </r>
        <r>
          <rPr>
            <sz val="9"/>
            <color indexed="81"/>
            <rFont val="Tahoma"/>
            <family val="2"/>
          </rPr>
          <t xml:space="preserve">
Verificar que corresponda a la suma del ICUF e IPUF</t>
        </r>
      </text>
    </comment>
    <comment ref="A27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Yenny Patricia Sanchez Sanchez:</t>
        </r>
        <r>
          <rPr>
            <sz val="9"/>
            <color indexed="81"/>
            <rFont val="Tahoma"/>
            <family val="2"/>
          </rPr>
          <t xml:space="preserve">
Debe ser igual a la calculada en la proyección de suscriptores (promedio)</t>
        </r>
      </text>
    </comment>
    <comment ref="A28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Yenny Patricia Sanchez Sanchez:</t>
        </r>
        <r>
          <rPr>
            <sz val="9"/>
            <color indexed="81"/>
            <rFont val="Tahoma"/>
            <family val="2"/>
          </rPr>
          <t xml:space="preserve">
Verificar fórmula del artículo 19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Yenny Patricia Sanchez Sanchez</author>
  </authors>
  <commentList>
    <comment ref="A1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Yenny Patricia Sanchez Sanchez:</t>
        </r>
        <r>
          <rPr>
            <sz val="9"/>
            <color indexed="81"/>
            <rFont val="Tahoma"/>
            <family val="2"/>
          </rPr>
          <t xml:space="preserve">
Verificar fórmula artículo 16</t>
        </r>
      </text>
    </comment>
    <comment ref="A21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Yenny Patricia Sanchez Sanchez:</t>
        </r>
        <r>
          <rPr>
            <sz val="9"/>
            <color indexed="81"/>
            <rFont val="Tahoma"/>
            <family val="2"/>
          </rPr>
          <t xml:space="preserve">
Verificar fórmula articulo 18</t>
        </r>
      </text>
    </comment>
    <comment ref="A24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Yenny Patricia Sanchez Sanchez:</t>
        </r>
        <r>
          <rPr>
            <sz val="9"/>
            <color indexed="81"/>
            <rFont val="Tahoma"/>
            <family val="2"/>
          </rPr>
          <t xml:space="preserve">
Las metas son libres pero deben ser concordantes con el Plan de Reducción de Pérdidas </t>
        </r>
      </text>
    </comment>
    <comment ref="A25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Yenny Patricia Sanchez Sanchez:</t>
        </r>
        <r>
          <rPr>
            <sz val="9"/>
            <color indexed="81"/>
            <rFont val="Tahoma"/>
            <family val="2"/>
          </rPr>
          <t xml:space="preserve">
Verificar las metas del año 5 y año 10 según artículo 9. Las demás metas son libres pero deben ser concordantes con el Plan de Reducción de Pérdidas </t>
        </r>
      </text>
    </comment>
    <comment ref="A26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Yenny Patricia Sanchez Sanchez:</t>
        </r>
        <r>
          <rPr>
            <sz val="9"/>
            <color indexed="81"/>
            <rFont val="Tahoma"/>
            <family val="2"/>
          </rPr>
          <t xml:space="preserve">
Verificar que corresponda a la suma del ICUF e IPUF</t>
        </r>
      </text>
    </comment>
    <comment ref="A27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Yenny Patricia Sanchez Sanchez:</t>
        </r>
        <r>
          <rPr>
            <sz val="9"/>
            <color indexed="81"/>
            <rFont val="Tahoma"/>
            <family val="2"/>
          </rPr>
          <t xml:space="preserve">
Debe ser igual a la calculada en la proyección de suscriptores (promedio)</t>
        </r>
      </text>
    </comment>
    <comment ref="A28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Yenny Patricia Sanchez Sanchez:</t>
        </r>
        <r>
          <rPr>
            <sz val="9"/>
            <color indexed="81"/>
            <rFont val="Tahoma"/>
            <family val="2"/>
          </rPr>
          <t xml:space="preserve">
Verificar fórmula del artículo 19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Yenny Patricia Sanchez Sanchez</author>
  </authors>
  <commentList>
    <comment ref="A1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Yenny Patricia Sanchez Sanchez:</t>
        </r>
        <r>
          <rPr>
            <sz val="9"/>
            <color indexed="81"/>
            <rFont val="Tahoma"/>
            <family val="2"/>
          </rPr>
          <t xml:space="preserve">
Verificar fórmula artículo 16</t>
        </r>
      </text>
    </comment>
    <comment ref="A21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Yenny Patricia Sanchez Sanchez:</t>
        </r>
        <r>
          <rPr>
            <sz val="9"/>
            <color indexed="81"/>
            <rFont val="Tahoma"/>
            <family val="2"/>
          </rPr>
          <t xml:space="preserve">
Verificar fórmula articulo 18</t>
        </r>
      </text>
    </comment>
    <comment ref="A24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Yenny Patricia Sanchez Sanchez:</t>
        </r>
        <r>
          <rPr>
            <sz val="9"/>
            <color indexed="81"/>
            <rFont val="Tahoma"/>
            <family val="2"/>
          </rPr>
          <t xml:space="preserve">
Las metas son libres pero deben ser concordantes con el Plan de Reducción de Pérdidas </t>
        </r>
      </text>
    </comment>
    <comment ref="A2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Yenny Patricia Sanchez Sanchez:</t>
        </r>
        <r>
          <rPr>
            <sz val="9"/>
            <color indexed="81"/>
            <rFont val="Tahoma"/>
            <family val="2"/>
          </rPr>
          <t xml:space="preserve">
Verificar las metas del año 5 y año 10 según artículo 9. Las demás metas son libres pero deben ser concordantes con el Plan de Reducción de Pérdidas </t>
        </r>
      </text>
    </comment>
    <comment ref="A26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Yenny Patricia Sanchez Sanchez:</t>
        </r>
        <r>
          <rPr>
            <sz val="9"/>
            <color indexed="81"/>
            <rFont val="Tahoma"/>
            <family val="2"/>
          </rPr>
          <t xml:space="preserve">
Verificar que corresponda a la suma del ICUF e IPUF</t>
        </r>
      </text>
    </comment>
    <comment ref="A27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Yenny Patricia Sanchez Sanchez:</t>
        </r>
        <r>
          <rPr>
            <sz val="9"/>
            <color indexed="81"/>
            <rFont val="Tahoma"/>
            <family val="2"/>
          </rPr>
          <t xml:space="preserve">
Debe ser igual a la calculada en la proyección de suscriptores (promedio)</t>
        </r>
      </text>
    </comment>
    <comment ref="A28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Yenny Patricia Sanchez Sanchez:</t>
        </r>
        <r>
          <rPr>
            <sz val="9"/>
            <color indexed="81"/>
            <rFont val="Tahoma"/>
            <family val="2"/>
          </rPr>
          <t xml:space="preserve">
Verificar fórmula del artículo 19</t>
        </r>
      </text>
    </comment>
  </commentList>
</comments>
</file>

<file path=xl/sharedStrings.xml><?xml version="1.0" encoding="utf-8"?>
<sst xmlns="http://schemas.openxmlformats.org/spreadsheetml/2006/main" count="1882" uniqueCount="437">
  <si>
    <t xml:space="preserve">Sueldos y salarios </t>
  </si>
  <si>
    <t xml:space="preserve">Aportes sobre la nómina </t>
  </si>
  <si>
    <t>a.</t>
  </si>
  <si>
    <t xml:space="preserve">Contribuciones imputadas y Contribuciones efectivas </t>
  </si>
  <si>
    <t>b.</t>
  </si>
  <si>
    <t>c.</t>
  </si>
  <si>
    <t>d.</t>
  </si>
  <si>
    <t>Generales</t>
  </si>
  <si>
    <t xml:space="preserve">Amortización de intangibles </t>
  </si>
  <si>
    <t>e.</t>
  </si>
  <si>
    <t>f.</t>
  </si>
  <si>
    <t>g.</t>
  </si>
  <si>
    <t>Gastos comerciales</t>
  </si>
  <si>
    <t>h.</t>
  </si>
  <si>
    <t xml:space="preserve">Remuneración activos </t>
  </si>
  <si>
    <t>Promedio</t>
  </si>
  <si>
    <t>Numeral</t>
  </si>
  <si>
    <t>Criterio</t>
  </si>
  <si>
    <t>CAU*</t>
  </si>
  <si>
    <t>Costo Administrativo por suscriptor estándar</t>
  </si>
  <si>
    <t>CAUi</t>
  </si>
  <si>
    <t>Años de Proyección</t>
  </si>
  <si>
    <t>i</t>
  </si>
  <si>
    <t>Ni</t>
  </si>
  <si>
    <t>Número de suscriptores facturados promedio del año i</t>
  </si>
  <si>
    <t>Tasa de descuento de capital de trabajo</t>
  </si>
  <si>
    <t xml:space="preserve">Costos de impuestos, contribuciones y tasas administrativas del año i </t>
  </si>
  <si>
    <t>rct</t>
  </si>
  <si>
    <t>CATi</t>
  </si>
  <si>
    <t>ICTAi</t>
  </si>
  <si>
    <t>Sumatoria</t>
  </si>
  <si>
    <t>CA e,i</t>
  </si>
  <si>
    <t>CMA</t>
  </si>
  <si>
    <t>Costo Medio de Administración</t>
  </si>
  <si>
    <t xml:space="preserve">Servicios personales </t>
  </si>
  <si>
    <t>Contribuciones a Comités de Estratificación</t>
  </si>
  <si>
    <t xml:space="preserve">Consumo de insumos directos </t>
  </si>
  <si>
    <t xml:space="preserve">Órdenes y contratos de mantenimiento y reparaciones </t>
  </si>
  <si>
    <t>Honorarios</t>
  </si>
  <si>
    <t xml:space="preserve">Servicios públicos y Materiales y otros costos de operación </t>
  </si>
  <si>
    <t>Seguros</t>
  </si>
  <si>
    <t>i.</t>
  </si>
  <si>
    <t xml:space="preserve">Órdenes y contratos por otros servicios </t>
  </si>
  <si>
    <t>j.</t>
  </si>
  <si>
    <t xml:space="preserve">Amortización de propiedades, planta y equipo </t>
  </si>
  <si>
    <t>k.</t>
  </si>
  <si>
    <t xml:space="preserve">Remuneración de los activos operativos </t>
  </si>
  <si>
    <t>COU*</t>
  </si>
  <si>
    <t>COUi</t>
  </si>
  <si>
    <t>Costo Operativo por suscriptor estándar</t>
  </si>
  <si>
    <t>COe,i</t>
  </si>
  <si>
    <t>Costos Operativos eficientes del año i</t>
  </si>
  <si>
    <t>CUP_EP</t>
  </si>
  <si>
    <t>CED0</t>
  </si>
  <si>
    <t>CEP0</t>
  </si>
  <si>
    <t>Costo de energía asociado al proceso de producción del año base</t>
  </si>
  <si>
    <t>Costo de energía asociado al proceso de distribución del año base</t>
  </si>
  <si>
    <t>AP0</t>
  </si>
  <si>
    <t>Agua producida del año base</t>
  </si>
  <si>
    <t xml:space="preserve">Costo unitario particular de energía asociado al proceso de producción </t>
  </si>
  <si>
    <t>AP i</t>
  </si>
  <si>
    <t xml:space="preserve">Agua producida en el año i </t>
  </si>
  <si>
    <t>CEP i</t>
  </si>
  <si>
    <t xml:space="preserve">Costo de energía asociado al proceso de producción del año i </t>
  </si>
  <si>
    <t>CUP_ED</t>
  </si>
  <si>
    <t>CED i</t>
  </si>
  <si>
    <t>Costo unitario particular de energía asociado al proceso de distribución</t>
  </si>
  <si>
    <t>AS0</t>
  </si>
  <si>
    <t>Agua suministrada del año base</t>
  </si>
  <si>
    <t>AS i</t>
  </si>
  <si>
    <t xml:space="preserve">Agua suministrada en el año i </t>
  </si>
  <si>
    <t>CE i</t>
  </si>
  <si>
    <t xml:space="preserve">Costo de energía consumida en procesos operativos del año i </t>
  </si>
  <si>
    <t>CIQ0</t>
  </si>
  <si>
    <t>CUP_IQ</t>
  </si>
  <si>
    <t>CIQ i</t>
  </si>
  <si>
    <t xml:space="preserve">Costo unitario particular de insumos químicos </t>
  </si>
  <si>
    <t xml:space="preserve">Costo de energía asociado al proceso de distribución del año i </t>
  </si>
  <si>
    <t>COSTO_CSAP0</t>
  </si>
  <si>
    <t>RCSAP0</t>
  </si>
  <si>
    <t>CUP_CSAP</t>
  </si>
  <si>
    <t>RCSAP i</t>
  </si>
  <si>
    <t>COSTO_CSAP i</t>
  </si>
  <si>
    <t xml:space="preserve">Pagos por concepto de contratos de suministro de agua potable del año i </t>
  </si>
  <si>
    <t>CP i</t>
  </si>
  <si>
    <t xml:space="preserve">Costos operativos particulares del año i </t>
  </si>
  <si>
    <t>COSTOS OPERATIVOS COMPARABLES</t>
  </si>
  <si>
    <t>COSTOS OPERATIVOS PARTICULARES</t>
  </si>
  <si>
    <t>COSTOS OPERATIVOS TOTALES</t>
  </si>
  <si>
    <t>ITOi</t>
  </si>
  <si>
    <t xml:space="preserve">Costos de impuestos y tasas operativas del año i </t>
  </si>
  <si>
    <t>Costos operativos totales del año i</t>
  </si>
  <si>
    <t>COT i</t>
  </si>
  <si>
    <t>CMO</t>
  </si>
  <si>
    <t>Costo Medio de Operación</t>
  </si>
  <si>
    <t>Costos administrativos totales del año i (anual)</t>
  </si>
  <si>
    <t>Costos administrativos totales del año i (mensual)</t>
  </si>
  <si>
    <t>CA</t>
  </si>
  <si>
    <t>CAUb</t>
  </si>
  <si>
    <t>CO</t>
  </si>
  <si>
    <t xml:space="preserve">Costo de insumos quimicos del año i </t>
  </si>
  <si>
    <t>Costo administrativo por suscriptor mensual base</t>
  </si>
  <si>
    <t>Costos administrativos eficientes del año i</t>
  </si>
  <si>
    <t>Costos administrativos eficientes por suscriptor mensual del año i</t>
  </si>
  <si>
    <t>Costos administrativos</t>
  </si>
  <si>
    <t>Costos operativos comparables</t>
  </si>
  <si>
    <t>N</t>
  </si>
  <si>
    <t>Número de suscriptores</t>
  </si>
  <si>
    <t>COUb</t>
  </si>
  <si>
    <t>Costo Operativo por suscriptor mensual base</t>
  </si>
  <si>
    <t xml:space="preserve">Pagos por concepto de contratos de suministro de agua potable e interconexión del año base </t>
  </si>
  <si>
    <t xml:space="preserve">Volumen recibido por contratos de suministro de agua potable e interconexión en el año base </t>
  </si>
  <si>
    <t>Costo unitario por contratos de suministro de agua e interconexión</t>
  </si>
  <si>
    <t>Volumen recibido por contratos de suministro de agua potable e interconexión en el año i</t>
  </si>
  <si>
    <t xml:space="preserve">Pagos por concepto de contratos de suministro de agua potable e interconexión del año i </t>
  </si>
  <si>
    <t xml:space="preserve">Costo de insumos químicos del año i </t>
  </si>
  <si>
    <t xml:space="preserve">Costos de insumos químicos del año base </t>
  </si>
  <si>
    <t>Costos operativos eficientes por suscriptor mensual del año i</t>
  </si>
  <si>
    <t>CCP i</t>
  </si>
  <si>
    <t>Consumo corregido por pérdidas del año i</t>
  </si>
  <si>
    <t>Costos operativos comparables eficientes del año i</t>
  </si>
  <si>
    <t>2013 en pesos de dic 2014</t>
  </si>
  <si>
    <t>2014 en pesos de dic 2014</t>
  </si>
  <si>
    <t>Promedio 12 meses del año 2014</t>
  </si>
  <si>
    <t>Factor de actualización costos 2014</t>
  </si>
  <si>
    <t>l.</t>
  </si>
  <si>
    <t>Arrendamiento</t>
  </si>
  <si>
    <t>Año</t>
  </si>
  <si>
    <t>NC0_R_ac</t>
  </si>
  <si>
    <t>Número de suscriptores residenciales facturados al cierre del año base para acueducto.</t>
  </si>
  <si>
    <t>NC0_NR_ac</t>
  </si>
  <si>
    <t>Número de suscriptores no residenciales facturados al cierre del año base para acueducto.</t>
  </si>
  <si>
    <t>NC 0_ac</t>
  </si>
  <si>
    <t>Número de suscriptores  facturados al cierre del año base para acueducto.</t>
  </si>
  <si>
    <t>NC0_R_al</t>
  </si>
  <si>
    <t>Número de suscriptores residenciales facturados al cierre del año base para alcantarillado.</t>
  </si>
  <si>
    <t>NC0_NR_al</t>
  </si>
  <si>
    <t>Número de suscriptores no residenciales facturados al cierre del año base para alcantarillado.</t>
  </si>
  <si>
    <t>NC 0_al</t>
  </si>
  <si>
    <t>Número de suscriptores  facturados al cierre del año base para alcantarillado.</t>
  </si>
  <si>
    <t>VSS</t>
  </si>
  <si>
    <t>Viviendas sin servicio.</t>
  </si>
  <si>
    <t>VNF</t>
  </si>
  <si>
    <t>Viviendas no facturadas con conexión.</t>
  </si>
  <si>
    <t>fVR</t>
  </si>
  <si>
    <t>Factor de crecimiento vegetativo de las viviendas.</t>
  </si>
  <si>
    <t>mc</t>
  </si>
  <si>
    <t>Año en que alcanza la meta de cobertura.</t>
  </si>
  <si>
    <t>NCmc_R_ac</t>
  </si>
  <si>
    <r>
      <t xml:space="preserve">Número de suscriptores residenciales por facturar con posibilidad de servicio en el año </t>
    </r>
    <r>
      <rPr>
        <b/>
        <i/>
        <sz val="12"/>
        <color theme="1"/>
        <rFont val="Arial"/>
        <family val="2"/>
      </rPr>
      <t>mc.</t>
    </r>
  </si>
  <si>
    <t>NC_R,i,ac</t>
  </si>
  <si>
    <t>Número de suscriptores residenciales por facturar al cierre del año i</t>
  </si>
  <si>
    <t>∆NC_R,i,ac</t>
  </si>
  <si>
    <t>Metas de nuevos suscriptores residenciales por facturar del año proyectado</t>
  </si>
  <si>
    <t>N_R,i,ac</t>
  </si>
  <si>
    <t>Número de suscriptores residenciales promedio por facturar en el año i para acueducto.</t>
  </si>
  <si>
    <t>NC_NR,i,ac</t>
  </si>
  <si>
    <r>
      <t xml:space="preserve">Número de suscriptores no residenciales por facturar al cierre del año </t>
    </r>
    <r>
      <rPr>
        <i/>
        <sz val="12"/>
        <color theme="1"/>
        <rFont val="Arial"/>
        <family val="2"/>
      </rPr>
      <t>i</t>
    </r>
    <r>
      <rPr>
        <sz val="12"/>
        <color theme="1"/>
        <rFont val="Arial"/>
        <family val="2"/>
      </rPr>
      <t xml:space="preserve"> para acueducto.</t>
    </r>
  </si>
  <si>
    <t>N_NR,i,ac</t>
  </si>
  <si>
    <r>
      <t xml:space="preserve">Número de suscriptores no residenciales promedio por facturar del año </t>
    </r>
    <r>
      <rPr>
        <i/>
        <sz val="12"/>
        <color theme="1"/>
        <rFont val="Arial"/>
        <family val="2"/>
      </rPr>
      <t>i</t>
    </r>
    <r>
      <rPr>
        <sz val="12"/>
        <color theme="1"/>
        <rFont val="Arial"/>
        <family val="2"/>
      </rPr>
      <t xml:space="preserve"> para acueducto.</t>
    </r>
  </si>
  <si>
    <t>Número de suscriptores no residenciales promedio por facturar del año i para acueducto.</t>
  </si>
  <si>
    <t>N,i,ac</t>
  </si>
  <si>
    <r>
      <t xml:space="preserve">Número de suscriptores promedio por facturar en el año </t>
    </r>
    <r>
      <rPr>
        <i/>
        <sz val="12"/>
        <color theme="1"/>
        <rFont val="Arial"/>
        <family val="2"/>
      </rPr>
      <t>i</t>
    </r>
    <r>
      <rPr>
        <sz val="12"/>
        <color theme="1"/>
        <rFont val="Arial"/>
        <family val="2"/>
      </rPr>
      <t xml:space="preserve"> para acueducto.</t>
    </r>
  </si>
  <si>
    <t>PIB Regional</t>
  </si>
  <si>
    <t>CCP</t>
  </si>
  <si>
    <t>Consumo corregido por perdidas</t>
  </si>
  <si>
    <t>Suscriptores</t>
  </si>
  <si>
    <t>numero de suscriptores APS 1</t>
  </si>
  <si>
    <t>numero de suscriptores APS 2</t>
  </si>
  <si>
    <t>numero de suscriptores APS 3</t>
  </si>
  <si>
    <t>ICTA APS 1</t>
  </si>
  <si>
    <t>ICTA APS 2</t>
  </si>
  <si>
    <t>ICTA APS 3</t>
  </si>
  <si>
    <t>SUMATORIA ICTA</t>
  </si>
  <si>
    <t>N APS 1</t>
  </si>
  <si>
    <t>N APS 2</t>
  </si>
  <si>
    <t>N APS 3</t>
  </si>
  <si>
    <t xml:space="preserve">SUMATORIA N </t>
  </si>
  <si>
    <t>ITO APS 1</t>
  </si>
  <si>
    <t>ITO APS 2</t>
  </si>
  <si>
    <t>ITO APS 3</t>
  </si>
  <si>
    <t>CCP APS 1</t>
  </si>
  <si>
    <t>CCP APS 2</t>
  </si>
  <si>
    <t>CCP APS 3</t>
  </si>
  <si>
    <t>CE APS1</t>
  </si>
  <si>
    <t>CE APS2</t>
  </si>
  <si>
    <t>CE APS3</t>
  </si>
  <si>
    <t>CIQ APS1</t>
  </si>
  <si>
    <t>CIQ APS2</t>
  </si>
  <si>
    <t>CIQ APS3</t>
  </si>
  <si>
    <t>CMI</t>
  </si>
  <si>
    <t>Nombre del Activo / Proyecto</t>
  </si>
  <si>
    <t>Planta_ap_1</t>
  </si>
  <si>
    <t>Terrenos</t>
  </si>
  <si>
    <t>COMPONENTES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</si>
  <si>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</si>
  <si>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</si>
  <si>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</si>
  <si>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</si>
  <si>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</si>
  <si>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</si>
  <si>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</si>
  <si>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</si>
  <si>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</si>
  <si>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</si>
  <si>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1. BCR AÑO BASE: AUTODECLARACIÓN DE INVERSIONES</t>
  </si>
  <si>
    <t>Categoria</t>
  </si>
  <si>
    <t>VPIRER_287</t>
  </si>
  <si>
    <t>1. BCR AÑO BASE: CALCULO DEL VALOR DE LOS ACTIVOS DIF_287</t>
  </si>
  <si>
    <t>Tipo de Valoración</t>
  </si>
  <si>
    <t>Contable - Vr Adquisición</t>
  </si>
  <si>
    <t>Proyecto / Activo</t>
  </si>
  <si>
    <t>SUMA = POIR</t>
  </si>
  <si>
    <t>Bocatoma Superficial</t>
  </si>
  <si>
    <t>Desarenador</t>
  </si>
  <si>
    <t>Tratamiento para Agua Potable - Planta Convencional</t>
  </si>
  <si>
    <t>Estacion de Bombeo de Agua Potable</t>
  </si>
  <si>
    <t>Tanque Superficial</t>
  </si>
  <si>
    <t>Red de Acueducto D=12"</t>
  </si>
  <si>
    <t>d_1</t>
  </si>
  <si>
    <t>d_2</t>
  </si>
  <si>
    <t>d_3</t>
  </si>
  <si>
    <t>d_4</t>
  </si>
  <si>
    <t>d_5</t>
  </si>
  <si>
    <t>d_6</t>
  </si>
  <si>
    <t>d_7</t>
  </si>
  <si>
    <t>d_8</t>
  </si>
  <si>
    <t>d_9</t>
  </si>
  <si>
    <t>d_10</t>
  </si>
  <si>
    <t>D_1</t>
  </si>
  <si>
    <t>D_2</t>
  </si>
  <si>
    <t>D_3</t>
  </si>
  <si>
    <t>D_4</t>
  </si>
  <si>
    <t>D_5</t>
  </si>
  <si>
    <t>D_6</t>
  </si>
  <si>
    <t>D_7</t>
  </si>
  <si>
    <t>D_8</t>
  </si>
  <si>
    <t>D_9</t>
  </si>
  <si>
    <t>D_10</t>
  </si>
  <si>
    <t>VA_0</t>
  </si>
  <si>
    <t>r</t>
  </si>
  <si>
    <t>di</t>
  </si>
  <si>
    <t>2018 en pesos de dic 2018</t>
  </si>
  <si>
    <t>Promedio 12 meses del año 2018</t>
  </si>
  <si>
    <t>Costo Administrativo por suscriptor estándar en pesos de diciembre del año base</t>
  </si>
  <si>
    <t>Costo Operativo por suscriptor estándar a pesos de diciembre del año base</t>
  </si>
  <si>
    <t>ACUEDUCTO</t>
  </si>
  <si>
    <t>AFR0,AC</t>
  </si>
  <si>
    <t>Consumo de agua facturada a suscriptores residenciales en el año base</t>
  </si>
  <si>
    <t>NR0,ac</t>
  </si>
  <si>
    <t>Número de suscriptores residenciales facturados promedio en el año base</t>
  </si>
  <si>
    <t>ICUFR0,AC</t>
  </si>
  <si>
    <t>índice de consumo de agua facturada por suscriptor residencial en el año base</t>
  </si>
  <si>
    <t>AFNR0,AC</t>
  </si>
  <si>
    <t>Consumo de agua facturada a suscriptores no residenciales en el año base</t>
  </si>
  <si>
    <t>NNR0,ac</t>
  </si>
  <si>
    <t>Número de suscriptores no residenciales facturados promedio en el año base</t>
  </si>
  <si>
    <t>ICUFNR0,AC</t>
  </si>
  <si>
    <t>índice de consumo de agua facturada por suscriptor no residencial en el año base</t>
  </si>
  <si>
    <t>P0</t>
  </si>
  <si>
    <t>Participación de los suscriptores residenciales promedio en los suscriptores totales</t>
  </si>
  <si>
    <t>ICUF0,AC</t>
  </si>
  <si>
    <t>índice de consumo de agua facturada por suscriptor en el año base</t>
  </si>
  <si>
    <t>Agua potable suministrada en el año base</t>
  </si>
  <si>
    <t>Agua producida en el año base</t>
  </si>
  <si>
    <t>Volumen recibido por contratos de suministro de agua potable en el año base</t>
  </si>
  <si>
    <t>ECSAP0</t>
  </si>
  <si>
    <t>Volumen entregado por contratos de suministro de agua potable en el año base</t>
  </si>
  <si>
    <t>AF0</t>
  </si>
  <si>
    <t>Consumo de agua facturadaen el año base</t>
  </si>
  <si>
    <t>N0</t>
  </si>
  <si>
    <t>Número de suscriptores facturados promedio en el año base</t>
  </si>
  <si>
    <t>IPUF0</t>
  </si>
  <si>
    <t>Índice de pérdidas por suscriptor facturado en el año base</t>
  </si>
  <si>
    <t>ICUFi</t>
  </si>
  <si>
    <t>Índice de consumo de agua facturada por suscriptor en el año i</t>
  </si>
  <si>
    <t>IPUFi</t>
  </si>
  <si>
    <t>Índice de pérdidas por suscriptor facturado del año i</t>
  </si>
  <si>
    <t>ISUFi</t>
  </si>
  <si>
    <t>Índice de agua suministrada por suscriptor facturado en el año i</t>
  </si>
  <si>
    <t>NI</t>
  </si>
  <si>
    <t>Año 2018</t>
  </si>
  <si>
    <r>
      <t xml:space="preserve">Número de suscriptores promedio por facturar en el año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para acueducto.</t>
    </r>
  </si>
  <si>
    <t>EJEMPLO APS 1 PERTENECIENTE AL PRIMER SEGMENTO DE LA 688</t>
  </si>
  <si>
    <t>EJEMPLO APS 2 PERTENECIENTE AL SEGUNDO SEGMENTO DE LA 688</t>
  </si>
  <si>
    <t>Factor de actualizacion pesos de diciembre del año base</t>
  </si>
  <si>
    <t>Factor de actualizacion pesos de diciembre de 2014 a pesos de diciembre del año base</t>
  </si>
  <si>
    <t>ESTUDIO DE COSTOS - RESOLUCIÓN CRA 287 DE 2004</t>
  </si>
  <si>
    <t>Tasa de Descuento</t>
  </si>
  <si>
    <t>Número de suscriptores iniciales</t>
  </si>
  <si>
    <t>VPN</t>
  </si>
  <si>
    <t>Vi 287 M$ 2014</t>
  </si>
  <si>
    <t>Total del Plan de inversiones ejecutado Acueducto</t>
  </si>
  <si>
    <t>Auto-declaración servicio de acueducto</t>
  </si>
  <si>
    <t>Vpirer estudio de costos</t>
  </si>
  <si>
    <t>Index (IPC 2014/IPC 2003)</t>
  </si>
  <si>
    <t>VP de la Demanda proyectada (m3)</t>
  </si>
  <si>
    <t>Activos del Plan de inversiones ejecutado ($ dic de 2003)</t>
  </si>
  <si>
    <t>Vpirer estudio ($ de dic 2003)</t>
  </si>
  <si>
    <t>VPD estudio (m3)</t>
  </si>
  <si>
    <t>VPQ (m3)</t>
  </si>
  <si>
    <t>IPI ($ de dic 2003)</t>
  </si>
  <si>
    <t>ICI ($ de dic 2003)</t>
  </si>
  <si>
    <t>INIC ($ de dic 2003)</t>
  </si>
  <si>
    <t>n</t>
  </si>
  <si>
    <t>Demanda facturada Q (m3)</t>
  </si>
  <si>
    <t>Demanda proyectada (m3)</t>
  </si>
  <si>
    <t xml:space="preserve">Descripción del Activo </t>
  </si>
  <si>
    <t>Vr. Neto a jun 2016 (costo – dep.)</t>
  </si>
  <si>
    <t>Ultimo ajuste por inflación</t>
  </si>
  <si>
    <t>IPC último ajuste</t>
  </si>
  <si>
    <t xml:space="preserve"> </t>
  </si>
  <si>
    <t xml:space="preserve"> ($ dic 2014)</t>
  </si>
  <si>
    <t>Tubería distribución</t>
  </si>
  <si>
    <t>Contable - Vr Construcción</t>
  </si>
  <si>
    <t>TOTAL VI_DIF287</t>
  </si>
  <si>
    <t>IPC dic 2014</t>
  </si>
  <si>
    <t>Valor</t>
  </si>
  <si>
    <t>Planta ap 2: Expansión</t>
  </si>
  <si>
    <t>Tubería distribución Expansión</t>
  </si>
  <si>
    <t>Tubería transporte: Reposición</t>
  </si>
  <si>
    <t>Tubería distribución: Rehabilitación</t>
  </si>
  <si>
    <t>2. PROYECCIÓN POIR</t>
  </si>
  <si>
    <t>VU Artículo 49 Res. 688</t>
  </si>
  <si>
    <t>Año entrada en Operación</t>
  </si>
  <si>
    <r>
      <t>To</t>
    </r>
    <r>
      <rPr>
        <b/>
        <vertAlign val="subscript"/>
        <sz val="10"/>
        <color rgb="FF000000"/>
        <rFont val="Calibri"/>
        <family val="2"/>
      </rPr>
      <t>j</t>
    </r>
  </si>
  <si>
    <t>=</t>
  </si>
  <si>
    <t>3. CÁLCULO DE LA DEPRECIACIÓN</t>
  </si>
  <si>
    <t>VI_DIF287</t>
  </si>
  <si>
    <t>POIR</t>
  </si>
  <si>
    <t>TOTAL AÑO</t>
  </si>
  <si>
    <t>4. PROYECCIÓN BCR i</t>
  </si>
  <si>
    <t>VA-D</t>
  </si>
  <si>
    <r>
      <t>TOTAL BCR</t>
    </r>
    <r>
      <rPr>
        <b/>
        <vertAlign val="subscript"/>
        <sz val="11"/>
        <color rgb="FF000000"/>
        <rFont val="Calibri"/>
        <family val="2"/>
      </rPr>
      <t>i</t>
    </r>
  </si>
  <si>
    <t>5. CÁLCULO CMI</t>
  </si>
  <si>
    <t xml:space="preserve">VP </t>
  </si>
  <si>
    <r>
      <t>r*BCR</t>
    </r>
    <r>
      <rPr>
        <vertAlign val="subscript"/>
        <sz val="11"/>
        <color rgb="FF000000"/>
        <rFont val="Calibri"/>
        <family val="2"/>
      </rPr>
      <t>i-1</t>
    </r>
  </si>
  <si>
    <r>
      <t>CI</t>
    </r>
    <r>
      <rPr>
        <b/>
        <vertAlign val="subscript"/>
        <sz val="11"/>
        <color rgb="FF000000"/>
        <rFont val="Calibri"/>
        <family val="2"/>
      </rPr>
      <t>i</t>
    </r>
  </si>
  <si>
    <t>TASA DE DESCUENTO</t>
  </si>
  <si>
    <t>1. BCR AÑO BASE: AUTODECLARACIÓN DEL POIR</t>
  </si>
  <si>
    <t>ESTUDIO DE COSTOS - RESOLUCIÓN CRA 688 DE 2014</t>
  </si>
  <si>
    <t>i) Vidas útiles</t>
  </si>
  <si>
    <t>ii) Depreciación anual</t>
  </si>
  <si>
    <t>iii) Depreciación acumulada</t>
  </si>
  <si>
    <t>iii) BCRi</t>
  </si>
  <si>
    <t>m3 facturados</t>
  </si>
  <si>
    <t>m3 facturados por suscriptor</t>
  </si>
  <si>
    <t>b. CÁLCULO DEL ICI (VPF)</t>
  </si>
  <si>
    <t>IPC dic 2018</t>
  </si>
  <si>
    <t>VI_(POIR,ac/al)</t>
  </si>
  <si>
    <t>Planta ap 2: Expansión_POIR 688</t>
  </si>
  <si>
    <t>Tubería distribución Expansión_POIR 688</t>
  </si>
  <si>
    <t xml:space="preserve">TOTAL </t>
  </si>
  <si>
    <t>VA_688</t>
  </si>
  <si>
    <t>5. CÁLCULO DEL CI</t>
  </si>
  <si>
    <t>Index (IPC 2018/IPC 2003)</t>
  </si>
  <si>
    <t>Vr. Neto a jun 2019 (costo – dep.)</t>
  </si>
  <si>
    <t xml:space="preserve"> ($ dic 2018)</t>
  </si>
  <si>
    <t>SUPUESTOS:</t>
  </si>
  <si>
    <t>1.</t>
  </si>
  <si>
    <t>2.</t>
  </si>
  <si>
    <t>3.</t>
  </si>
  <si>
    <t>4.</t>
  </si>
  <si>
    <t>5.</t>
  </si>
  <si>
    <t>SE CALCULA:</t>
  </si>
  <si>
    <t>CRITERIOS DE CÁLCULO:</t>
  </si>
  <si>
    <t>SEGÚN "ESTUDIO DE COSTOS" DE LA RESOLUCIÓN CRA 688 DE 2014</t>
  </si>
  <si>
    <t>CMI APS1- Calculado con criterio 2</t>
  </si>
  <si>
    <t>TOTAL BCR_0_688 APS 1</t>
  </si>
  <si>
    <t>Factor de actualización costos 2013 en dic 2014</t>
  </si>
  <si>
    <t>Factor de actualización costos 2014 en dic 2014</t>
  </si>
  <si>
    <t>Consumo de agua facturada en el año base</t>
  </si>
  <si>
    <t>DEPRECIACION ANUAL</t>
  </si>
  <si>
    <t>DEPRECIACION ACUMULADA</t>
  </si>
  <si>
    <t>EJEMPLO APS 3 PERTENECIENTE A LA 825</t>
  </si>
  <si>
    <r>
      <t xml:space="preserve">APS </t>
    </r>
    <r>
      <rPr>
        <b/>
        <vertAlign val="subscript"/>
        <sz val="18"/>
        <color rgb="FFFF0000"/>
        <rFont val="Calibri"/>
        <family val="2"/>
        <scheme val="minor"/>
      </rPr>
      <t>ACP</t>
    </r>
  </si>
  <si>
    <t xml:space="preserve">Se calculará como el número de meses transcurridos entre julio de 2016 y el 30 de junio siguiente a la solicitud de declaratoria del esquema diferencial divididos entre doce (12). </t>
  </si>
  <si>
    <t>SUMA = POID</t>
  </si>
  <si>
    <t>POID</t>
  </si>
  <si>
    <t>La APS municipios que podrán aplicar esquemas diferenciales en áreas en condiciones particulares</t>
  </si>
  <si>
    <t>La persona prestadora decide diferenciar el APS para el servicio público de acueducto</t>
  </si>
  <si>
    <t>El periodo de proyección corresponde al plazo definido por el prestador en el PGED (10 años)</t>
  </si>
  <si>
    <t>Año 2021</t>
  </si>
  <si>
    <t>EJEMPLO APS PERTENECIENTE AL PRIMER SEGMENTO DE LA 688</t>
  </si>
  <si>
    <t>Año proyección 1</t>
  </si>
  <si>
    <t>Año proyección 2</t>
  </si>
  <si>
    <t>Año proyección 3</t>
  </si>
  <si>
    <t>Año proyección 4</t>
  </si>
  <si>
    <t>Año proyección 5</t>
  </si>
  <si>
    <t>Año proyección 6</t>
  </si>
  <si>
    <t>Año proyección 7</t>
  </si>
  <si>
    <t>Año proyección 8</t>
  </si>
  <si>
    <t>Año proyección 9</t>
  </si>
  <si>
    <t>Año proyección 10</t>
  </si>
  <si>
    <t>Se solicita el esquema de prestación diferencial en abril de 2021</t>
  </si>
  <si>
    <t xml:space="preserve">El esquema se solicitó en abril de 2021 </t>
  </si>
  <si>
    <r>
      <t xml:space="preserve">El año uno (1) de proyección será el periodo comprendido entre el 1 de julio siguiente a la presentación de la solicitud de aceptación del esquema diferencial y el 30 de junio del año subsiguiente. (proyección a partir de 1 julio 2021 al </t>
    </r>
    <r>
      <rPr>
        <b/>
        <sz val="11"/>
        <color theme="1"/>
        <rFont val="AR JULIAN"/>
      </rPr>
      <t>30 junio 2022</t>
    </r>
    <r>
      <rPr>
        <sz val="11"/>
        <color theme="1"/>
        <rFont val="AR JULIAN"/>
      </rPr>
      <t>)</t>
    </r>
  </si>
  <si>
    <t>2. PROYECCIÓN POID</t>
  </si>
  <si>
    <t>Año 1 proyección ACP</t>
  </si>
  <si>
    <t>POIR_688</t>
  </si>
  <si>
    <t>Periodo 1 de julio de 2016 hasta un día antes de la aplicación de esquemas diferenciales (el 30 de junio de 2021).</t>
  </si>
  <si>
    <t>1. Cálculo del VA: Los activos con los que cuenta al comenzar el esquema diferencial (teniendo en cuenta que algunas inversiones no se han recuperado)</t>
  </si>
  <si>
    <t>2. Autodeclaración del POIR: Periodo aplicación de las tarifas.</t>
  </si>
  <si>
    <t>ICI: Cuanto recuperó del POIR</t>
  </si>
  <si>
    <t>No hay necesidad de indexar este costo.</t>
  </si>
  <si>
    <t>a. CÁLCULO DEL</t>
  </si>
  <si>
    <t>b. CÁLCULO DEL                (CI DEL POIR ESTUDIO DE COSTOS RES 688)</t>
  </si>
  <si>
    <t>CMI ACP- Calculado con el numeral 6 del Anexo III de la Resolución sobre esquemas diferenciales urbanos.</t>
  </si>
  <si>
    <t>SEGÚN LO ESTABLECIDO EN LA RESOLUCIÓN SOBRE ESQUEMAS DIFERENCIALES URBANOS</t>
  </si>
  <si>
    <t>Solicitud ACP (Año 0)</t>
  </si>
  <si>
    <r>
      <t>CMI</t>
    </r>
    <r>
      <rPr>
        <b/>
        <vertAlign val="subscript"/>
        <sz val="18"/>
        <color rgb="FFFF0000"/>
        <rFont val="Calibri"/>
        <family val="2"/>
        <scheme val="minor"/>
      </rPr>
      <t>ACP,ac</t>
    </r>
  </si>
  <si>
    <r>
      <t>CCP</t>
    </r>
    <r>
      <rPr>
        <b/>
        <vertAlign val="subscript"/>
        <sz val="11"/>
        <color rgb="FF000000"/>
        <rFont val="Calibri"/>
        <family val="2"/>
      </rPr>
      <t>ACP,i,ac</t>
    </r>
  </si>
  <si>
    <r>
      <t>CCP</t>
    </r>
    <r>
      <rPr>
        <b/>
        <vertAlign val="subscript"/>
        <sz val="18"/>
        <color rgb="FFFF0000"/>
        <rFont val="Calibri"/>
        <family val="2"/>
        <scheme val="minor"/>
      </rPr>
      <t>ACP,i,ac</t>
    </r>
  </si>
  <si>
    <r>
      <t>CI</t>
    </r>
    <r>
      <rPr>
        <b/>
        <vertAlign val="subscript"/>
        <sz val="18"/>
        <color rgb="FFFF0000"/>
        <rFont val="Calibri"/>
        <family val="2"/>
        <scheme val="minor"/>
      </rPr>
      <t>ACP,i,ac</t>
    </r>
  </si>
  <si>
    <r>
      <t>CI</t>
    </r>
    <r>
      <rPr>
        <b/>
        <vertAlign val="subscript"/>
        <sz val="11"/>
        <color rgb="FF000000"/>
        <rFont val="Calibri"/>
        <family val="2"/>
      </rPr>
      <t>ACP,i,c,ac</t>
    </r>
  </si>
  <si>
    <r>
      <t>CI</t>
    </r>
    <r>
      <rPr>
        <b/>
        <vertAlign val="subscript"/>
        <sz val="11"/>
        <color rgb="FF000000"/>
        <rFont val="Calibri"/>
        <family val="2"/>
      </rPr>
      <t>ACP,i,ac</t>
    </r>
  </si>
  <si>
    <r>
      <t>r*BCR</t>
    </r>
    <r>
      <rPr>
        <vertAlign val="subscript"/>
        <sz val="11"/>
        <color rgb="FF000000"/>
        <rFont val="Calibri"/>
        <family val="2"/>
      </rPr>
      <t>ACP,i-1,ac</t>
    </r>
  </si>
  <si>
    <r>
      <t>TOTAL BCR</t>
    </r>
    <r>
      <rPr>
        <b/>
        <vertAlign val="subscript"/>
        <sz val="11"/>
        <color rgb="FF000000"/>
        <rFont val="Calibri"/>
        <family val="2"/>
      </rPr>
      <t>ACP,i,ac</t>
    </r>
  </si>
  <si>
    <r>
      <t>4. PROYECCIÓN BCR</t>
    </r>
    <r>
      <rPr>
        <b/>
        <vertAlign val="subscript"/>
        <sz val="12"/>
        <color theme="1"/>
        <rFont val="Calibri"/>
        <family val="2"/>
        <scheme val="minor"/>
      </rPr>
      <t>ACP,i,ac</t>
    </r>
  </si>
  <si>
    <r>
      <t>VA</t>
    </r>
    <r>
      <rPr>
        <b/>
        <vertAlign val="subscript"/>
        <sz val="10"/>
        <color rgb="FF000000"/>
        <rFont val="Calibri"/>
        <family val="2"/>
      </rPr>
      <t>ACP,0,j,ac</t>
    </r>
  </si>
  <si>
    <r>
      <t>1. BCR AÑO BASE: BCR</t>
    </r>
    <r>
      <rPr>
        <b/>
        <vertAlign val="subscript"/>
        <sz val="12"/>
        <color theme="1"/>
        <rFont val="Calibri"/>
        <family val="2"/>
        <scheme val="minor"/>
      </rPr>
      <t>0,ac</t>
    </r>
  </si>
  <si>
    <r>
      <t>1. BCR AÑO BASE: ACTUALIZACION BCR_A</t>
    </r>
    <r>
      <rPr>
        <b/>
        <vertAlign val="subscript"/>
        <sz val="12"/>
        <color theme="1"/>
        <rFont val="Calibri"/>
        <family val="2"/>
        <scheme val="minor"/>
      </rPr>
      <t>0,688,ac</t>
    </r>
  </si>
  <si>
    <r>
      <t>VI</t>
    </r>
    <r>
      <rPr>
        <vertAlign val="subscript"/>
        <sz val="11"/>
        <color theme="1"/>
        <rFont val="Calibri"/>
        <family val="2"/>
        <scheme val="minor"/>
      </rPr>
      <t>POIR,ac</t>
    </r>
  </si>
  <si>
    <r>
      <t>VI</t>
    </r>
    <r>
      <rPr>
        <b/>
        <vertAlign val="subscript"/>
        <sz val="9"/>
        <color rgb="FF000000"/>
        <rFont val="Calibri"/>
        <family val="2"/>
      </rPr>
      <t>POIR,ac/al</t>
    </r>
  </si>
  <si>
    <r>
      <t>d. CÁLCULO VI</t>
    </r>
    <r>
      <rPr>
        <vertAlign val="subscript"/>
        <sz val="11"/>
        <color theme="1"/>
        <rFont val="Calibri"/>
        <family val="2"/>
        <scheme val="minor"/>
      </rPr>
      <t>POIR,ac/al</t>
    </r>
  </si>
  <si>
    <t xml:space="preserve">c. CÁLCULO </t>
  </si>
  <si>
    <t xml:space="preserve">b. CÁLCULO </t>
  </si>
  <si>
    <r>
      <t>VP (CCP_688</t>
    </r>
    <r>
      <rPr>
        <b/>
        <vertAlign val="subscript"/>
        <sz val="9"/>
        <color rgb="FF000000"/>
        <rFont val="Calibri"/>
        <family val="2"/>
      </rPr>
      <t>ac,al</t>
    </r>
    <r>
      <rPr>
        <b/>
        <sz val="9"/>
        <color rgb="FF000000"/>
        <rFont val="Calibri"/>
        <family val="2"/>
      </rPr>
      <t>)</t>
    </r>
  </si>
  <si>
    <r>
      <t xml:space="preserve"> VP(F</t>
    </r>
    <r>
      <rPr>
        <b/>
        <vertAlign val="subscript"/>
        <sz val="9"/>
        <color rgb="FF000000"/>
        <rFont val="Calibri"/>
        <family val="2"/>
      </rPr>
      <t>ac,al</t>
    </r>
    <r>
      <rPr>
        <b/>
        <sz val="9"/>
        <color rgb="FF000000"/>
        <rFont val="Calibri"/>
        <family val="2"/>
      </rPr>
      <t>)</t>
    </r>
  </si>
  <si>
    <r>
      <t>VP(CI_POIR</t>
    </r>
    <r>
      <rPr>
        <b/>
        <vertAlign val="subscript"/>
        <sz val="9"/>
        <color rgb="FF000000"/>
        <rFont val="Calibri"/>
        <family val="2"/>
      </rPr>
      <t>ac,al</t>
    </r>
    <r>
      <rPr>
        <b/>
        <sz val="9"/>
        <color rgb="FF000000"/>
        <rFont val="Calibri"/>
        <family val="2"/>
      </rPr>
      <t>)</t>
    </r>
  </si>
  <si>
    <r>
      <t>CI_POIR</t>
    </r>
    <r>
      <rPr>
        <b/>
        <vertAlign val="subscript"/>
        <sz val="11"/>
        <color rgb="FF000000"/>
        <rFont val="Calibri"/>
        <family val="2"/>
      </rPr>
      <t>ac</t>
    </r>
  </si>
  <si>
    <t xml:space="preserve">EJEMPLO </t>
  </si>
  <si>
    <r>
      <t xml:space="preserve">EJEMPLO COSTOS DE REFERENCIA </t>
    </r>
    <r>
      <rPr>
        <b/>
        <sz val="20"/>
        <color rgb="FFFF0000"/>
        <rFont val="AR JULIAN"/>
      </rPr>
      <t>ESQUEMA DIFERENCIAL CONDICIONES PARTICULARES</t>
    </r>
  </si>
  <si>
    <t>corresponde al IPC dic 2014 de la base IPC Base Dane 2018</t>
  </si>
  <si>
    <t>corresponde al IPC dic 2014 de la base IPC Indices Serie de empalme 1997-2012</t>
  </si>
  <si>
    <t>pj</t>
  </si>
  <si>
    <t>el valor presente de los proyectos ejecutados de la Resolución 287 es igual al valor presente de proyectos programado del estudio de costos Res 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</si>
</sst>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164" formatCode="_-* #,##0.00\ &quot;€&quot;_-;\-* #,##0.00\ &quot;€&quot;_-;_-* &quot;-&quot;??\ &quot;€&quot;_-;_-@_-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0.0000"/>
    <numFmt numFmtId="169" formatCode="_(* #,##0_);_(* \(#,##0\);_(* &quot;-&quot;????_);_(@_)"/>
    <numFmt numFmtId="170" formatCode="_(* #,##0.000_);_(* \(#,##0.000\);_(* &quot;-&quot;??_);_(@_)"/>
    <numFmt numFmtId="171" formatCode="_(* #,##0.0_);_(* \(#,##0.0\);_(* &quot;-&quot;??_);_(@_)"/>
    <numFmt numFmtId="172" formatCode="_-* #,##0.00\ [$€-1]_-;\-* #,##0.00\ [$€-1]_-;_-* &quot;-&quot;??\ [$€-1]_-"/>
    <numFmt numFmtId="173" formatCode="_(* #,##0.0000_);_(* \(#,##0.0000\);_(* &quot;-&quot;??_);_(@_)"/>
    <numFmt numFmtId="174" formatCode="0.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Tahoma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8"/>
      <name val="Verdana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vertAlign val="subscript"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.5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11"/>
      <color rgb="FF000000"/>
      <name val="Calibri"/>
      <family val="2"/>
    </font>
    <font>
      <sz val="11"/>
      <color rgb="FF000000"/>
      <name val="Calibri"/>
      <family val="2"/>
    </font>
    <font>
      <vertAlign val="subscript"/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8"/>
      <color rgb="FFFF0000"/>
      <name val="Calibri"/>
      <family val="2"/>
      <scheme val="minor"/>
    </font>
    <font>
      <b/>
      <sz val="16"/>
      <color rgb="FF000000"/>
      <name val="Calibri"/>
      <family val="2"/>
    </font>
    <font>
      <sz val="11"/>
      <color theme="1"/>
      <name val="AR JULIAN"/>
    </font>
    <font>
      <b/>
      <sz val="20"/>
      <color theme="1"/>
      <name val="AR JULIAN"/>
    </font>
    <font>
      <b/>
      <sz val="14"/>
      <color theme="1"/>
      <name val="AR JULIAN"/>
    </font>
    <font>
      <b/>
      <vertAlign val="subscript"/>
      <sz val="18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 JULIAN"/>
    </font>
    <font>
      <b/>
      <sz val="12"/>
      <name val="Calibri"/>
      <family val="2"/>
      <scheme val="minor"/>
    </font>
    <font>
      <b/>
      <sz val="11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vertAlign val="subscript"/>
      <sz val="9"/>
      <color rgb="FF000000"/>
      <name val="Calibri"/>
      <family val="2"/>
    </font>
    <font>
      <b/>
      <sz val="20"/>
      <color rgb="FFFF0000"/>
      <name val="AR JULIAN"/>
    </font>
  </fonts>
  <fills count="2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5" fillId="0" borderId="0"/>
    <xf numFmtId="41" fontId="1" fillId="0" borderId="0" applyFont="0" applyFill="0" applyBorder="0" applyAlignment="0" applyProtection="0"/>
    <xf numFmtId="0" fontId="7" fillId="0" borderId="0" applyNumberFormat="0" applyFont="0" applyFill="0" applyBorder="0" applyProtection="0">
      <alignment horizontal="left"/>
    </xf>
    <xf numFmtId="17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20" fillId="0" borderId="0"/>
    <xf numFmtId="0" fontId="1" fillId="0" borderId="0"/>
    <xf numFmtId="0" fontId="20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Protection="0">
      <alignment horizontal="left"/>
    </xf>
    <xf numFmtId="0" fontId="7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92">
    <xf numFmtId="0" fontId="0" fillId="0" borderId="0" xfId="0"/>
    <xf numFmtId="0" fontId="0" fillId="0" borderId="0" xfId="0" applyFont="1"/>
    <xf numFmtId="0" fontId="0" fillId="0" borderId="1" xfId="0" applyFont="1" applyBorder="1"/>
    <xf numFmtId="166" fontId="0" fillId="0" borderId="1" xfId="1" applyNumberFormat="1" applyFont="1" applyBorder="1"/>
    <xf numFmtId="0" fontId="0" fillId="0" borderId="1" xfId="0" applyFont="1" applyFill="1" applyBorder="1"/>
    <xf numFmtId="166" fontId="0" fillId="0" borderId="1" xfId="1" applyNumberFormat="1" applyFont="1" applyFill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Border="1"/>
    <xf numFmtId="0" fontId="4" fillId="0" borderId="1" xfId="0" applyFont="1" applyFill="1" applyBorder="1"/>
    <xf numFmtId="0" fontId="4" fillId="0" borderId="1" xfId="0" applyFont="1" applyBorder="1"/>
    <xf numFmtId="166" fontId="4" fillId="0" borderId="1" xfId="1" applyNumberFormat="1" applyFont="1" applyFill="1" applyBorder="1"/>
    <xf numFmtId="166" fontId="4" fillId="0" borderId="1" xfId="1" applyNumberFormat="1" applyFont="1" applyBorder="1"/>
    <xf numFmtId="166" fontId="0" fillId="0" borderId="0" xfId="0" applyNumberFormat="1"/>
    <xf numFmtId="0" fontId="0" fillId="0" borderId="0" xfId="0" applyFill="1"/>
    <xf numFmtId="0" fontId="0" fillId="0" borderId="0" xfId="0" applyFill="1" applyBorder="1"/>
    <xf numFmtId="2" fontId="5" fillId="0" borderId="0" xfId="0" applyNumberFormat="1" applyFont="1" applyFill="1" applyBorder="1"/>
    <xf numFmtId="0" fontId="0" fillId="0" borderId="0" xfId="0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indent="3"/>
    </xf>
    <xf numFmtId="166" fontId="0" fillId="0" borderId="1" xfId="0" applyNumberFormat="1" applyBorder="1"/>
    <xf numFmtId="166" fontId="2" fillId="0" borderId="1" xfId="0" applyNumberFormat="1" applyFont="1" applyFill="1" applyBorder="1"/>
    <xf numFmtId="166" fontId="4" fillId="0" borderId="1" xfId="0" applyNumberFormat="1" applyFont="1" applyFill="1" applyBorder="1"/>
    <xf numFmtId="166" fontId="1" fillId="0" borderId="1" xfId="1" applyNumberFormat="1" applyFont="1" applyFill="1" applyBorder="1"/>
    <xf numFmtId="166" fontId="4" fillId="0" borderId="1" xfId="0" applyNumberFormat="1" applyFont="1" applyBorder="1"/>
    <xf numFmtId="165" fontId="0" fillId="0" borderId="1" xfId="0" applyNumberFormat="1" applyBorder="1"/>
    <xf numFmtId="166" fontId="2" fillId="0" borderId="1" xfId="0" applyNumberFormat="1" applyFont="1" applyBorder="1"/>
    <xf numFmtId="166" fontId="2" fillId="0" borderId="1" xfId="1" applyNumberFormat="1" applyFont="1" applyBorder="1"/>
    <xf numFmtId="0" fontId="4" fillId="0" borderId="0" xfId="0" applyFont="1" applyFill="1" applyBorder="1"/>
    <xf numFmtId="166" fontId="0" fillId="0" borderId="0" xfId="1" applyNumberFormat="1" applyFont="1" applyFill="1" applyBorder="1"/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/>
    <xf numFmtId="10" fontId="0" fillId="0" borderId="1" xfId="0" applyNumberFormat="1" applyBorder="1"/>
    <xf numFmtId="166" fontId="0" fillId="0" borderId="1" xfId="0" applyNumberFormat="1" applyFont="1" applyBorder="1"/>
    <xf numFmtId="166" fontId="0" fillId="0" borderId="0" xfId="0" applyNumberFormat="1" applyFont="1"/>
    <xf numFmtId="166" fontId="4" fillId="0" borderId="0" xfId="1" applyNumberFormat="1" applyFont="1" applyBorder="1"/>
    <xf numFmtId="0" fontId="2" fillId="0" borderId="0" xfId="0" applyFont="1" applyBorder="1"/>
    <xf numFmtId="167" fontId="0" fillId="0" borderId="1" xfId="0" applyNumberFormat="1" applyBorder="1"/>
    <xf numFmtId="166" fontId="0" fillId="0" borderId="0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9" fontId="0" fillId="0" borderId="0" xfId="2" applyFont="1" applyBorder="1"/>
    <xf numFmtId="166" fontId="0" fillId="0" borderId="0" xfId="0" applyNumberFormat="1" applyBorder="1"/>
    <xf numFmtId="166" fontId="6" fillId="0" borderId="1" xfId="1" applyNumberFormat="1" applyFont="1" applyBorder="1"/>
    <xf numFmtId="0" fontId="0" fillId="0" borderId="1" xfId="0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66" fontId="0" fillId="0" borderId="1" xfId="1" applyNumberFormat="1" applyFont="1" applyBorder="1" applyAlignment="1">
      <alignment horizontal="center"/>
    </xf>
    <xf numFmtId="168" fontId="0" fillId="0" borderId="0" xfId="0" applyNumberFormat="1" applyFill="1" applyBorder="1"/>
    <xf numFmtId="168" fontId="0" fillId="0" borderId="1" xfId="0" applyNumberFormat="1" applyFill="1" applyBorder="1"/>
    <xf numFmtId="169" fontId="0" fillId="0" borderId="1" xfId="0" applyNumberFormat="1" applyBorder="1"/>
    <xf numFmtId="0" fontId="4" fillId="0" borderId="1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indent="3"/>
    </xf>
    <xf numFmtId="0" fontId="0" fillId="0" borderId="2" xfId="0" applyFill="1" applyBorder="1"/>
    <xf numFmtId="168" fontId="0" fillId="0" borderId="2" xfId="0" applyNumberFormat="1" applyFill="1" applyBorder="1"/>
    <xf numFmtId="166" fontId="2" fillId="0" borderId="1" xfId="1" applyNumberFormat="1" applyFont="1" applyFill="1" applyBorder="1"/>
    <xf numFmtId="169" fontId="2" fillId="0" borderId="1" xfId="0" applyNumberFormat="1" applyFont="1" applyBorder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3" xfId="0" applyFont="1" applyFill="1" applyBorder="1" applyAlignment="1"/>
    <xf numFmtId="0" fontId="0" fillId="0" borderId="0" xfId="0" applyFont="1" applyFill="1" applyBorder="1"/>
    <xf numFmtId="165" fontId="0" fillId="0" borderId="0" xfId="0" applyNumberFormat="1"/>
    <xf numFmtId="168" fontId="0" fillId="0" borderId="1" xfId="0" applyNumberFormat="1" applyBorder="1"/>
    <xf numFmtId="166" fontId="0" fillId="0" borderId="0" xfId="1" applyNumberFormat="1" applyFont="1"/>
    <xf numFmtId="166" fontId="3" fillId="0" borderId="1" xfId="0" applyNumberFormat="1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9" fillId="0" borderId="0" xfId="0" applyFont="1"/>
    <xf numFmtId="0" fontId="9" fillId="0" borderId="10" xfId="0" applyFont="1" applyBorder="1"/>
    <xf numFmtId="0" fontId="9" fillId="0" borderId="1" xfId="0" applyFont="1" applyBorder="1"/>
    <xf numFmtId="166" fontId="9" fillId="0" borderId="11" xfId="1" applyNumberFormat="1" applyFont="1" applyBorder="1"/>
    <xf numFmtId="0" fontId="8" fillId="0" borderId="12" xfId="0" applyFont="1" applyBorder="1"/>
    <xf numFmtId="0" fontId="8" fillId="0" borderId="13" xfId="0" applyFont="1" applyBorder="1"/>
    <xf numFmtId="166" fontId="8" fillId="0" borderId="14" xfId="1" applyNumberFormat="1" applyFont="1" applyBorder="1"/>
    <xf numFmtId="0" fontId="8" fillId="0" borderId="0" xfId="0" applyFont="1" applyBorder="1"/>
    <xf numFmtId="166" fontId="8" fillId="0" borderId="0" xfId="1" applyNumberFormat="1" applyFont="1" applyBorder="1"/>
    <xf numFmtId="0" fontId="9" fillId="0" borderId="7" xfId="0" applyFont="1" applyBorder="1"/>
    <xf numFmtId="0" fontId="9" fillId="0" borderId="8" xfId="0" applyFont="1" applyBorder="1"/>
    <xf numFmtId="166" fontId="9" fillId="0" borderId="9" xfId="1" applyNumberFormat="1" applyFont="1" applyBorder="1"/>
    <xf numFmtId="0" fontId="9" fillId="0" borderId="0" xfId="0" applyFont="1" applyBorder="1"/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/>
    <xf numFmtId="0" fontId="9" fillId="0" borderId="2" xfId="0" applyFont="1" applyBorder="1"/>
    <xf numFmtId="166" fontId="8" fillId="0" borderId="2" xfId="1" applyNumberFormat="1" applyFont="1" applyBorder="1" applyAlignment="1">
      <alignment horizontal="center"/>
    </xf>
    <xf numFmtId="166" fontId="9" fillId="0" borderId="2" xfId="1" applyNumberFormat="1" applyFont="1" applyBorder="1" applyAlignment="1">
      <alignment horizontal="center"/>
    </xf>
    <xf numFmtId="166" fontId="9" fillId="0" borderId="2" xfId="1" applyNumberFormat="1" applyFont="1" applyBorder="1" applyAlignment="1">
      <alignment horizontal="center" vertical="center"/>
    </xf>
    <xf numFmtId="166" fontId="9" fillId="0" borderId="16" xfId="1" applyNumberFormat="1" applyFont="1" applyBorder="1" applyAlignment="1">
      <alignment horizontal="center" vertical="center"/>
    </xf>
    <xf numFmtId="0" fontId="8" fillId="0" borderId="10" xfId="0" applyFont="1" applyBorder="1"/>
    <xf numFmtId="166" fontId="9" fillId="0" borderId="1" xfId="0" applyNumberFormat="1" applyFont="1" applyBorder="1"/>
    <xf numFmtId="166" fontId="9" fillId="0" borderId="11" xfId="0" applyNumberFormat="1" applyFont="1" applyBorder="1"/>
    <xf numFmtId="0" fontId="8" fillId="0" borderId="12" xfId="0" applyFont="1" applyFill="1" applyBorder="1"/>
    <xf numFmtId="0" fontId="9" fillId="0" borderId="13" xfId="0" applyFont="1" applyFill="1" applyBorder="1"/>
    <xf numFmtId="0" fontId="9" fillId="0" borderId="13" xfId="0" applyFont="1" applyBorder="1"/>
    <xf numFmtId="166" fontId="9" fillId="0" borderId="13" xfId="0" applyNumberFormat="1" applyFont="1" applyBorder="1"/>
    <xf numFmtId="166" fontId="9" fillId="0" borderId="1" xfId="1" applyNumberFormat="1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/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/>
    <xf numFmtId="0" fontId="9" fillId="0" borderId="21" xfId="0" applyFont="1" applyBorder="1"/>
    <xf numFmtId="166" fontId="9" fillId="0" borderId="21" xfId="0" applyNumberFormat="1" applyFont="1" applyBorder="1"/>
    <xf numFmtId="0" fontId="8" fillId="0" borderId="10" xfId="0" applyFont="1" applyFill="1" applyBorder="1"/>
    <xf numFmtId="166" fontId="8" fillId="0" borderId="13" xfId="0" applyNumberFormat="1" applyFont="1" applyBorder="1"/>
    <xf numFmtId="166" fontId="8" fillId="0" borderId="14" xfId="0" applyNumberFormat="1" applyFont="1" applyBorder="1"/>
    <xf numFmtId="166" fontId="9" fillId="0" borderId="0" xfId="0" applyNumberFormat="1" applyFont="1"/>
    <xf numFmtId="170" fontId="9" fillId="0" borderId="11" xfId="1" applyNumberFormat="1" applyFont="1" applyBorder="1"/>
    <xf numFmtId="0" fontId="14" fillId="0" borderId="1" xfId="0" applyFont="1" applyFill="1" applyBorder="1"/>
    <xf numFmtId="0" fontId="15" fillId="0" borderId="1" xfId="0" applyFont="1" applyFill="1" applyBorder="1"/>
    <xf numFmtId="41" fontId="15" fillId="0" borderId="1" xfId="6" applyFont="1" applyFill="1" applyBorder="1"/>
    <xf numFmtId="166" fontId="15" fillId="0" borderId="1" xfId="1" applyNumberFormat="1" applyFont="1" applyBorder="1"/>
    <xf numFmtId="0" fontId="15" fillId="0" borderId="1" xfId="0" applyFont="1" applyBorder="1"/>
    <xf numFmtId="166" fontId="15" fillId="0" borderId="1" xfId="0" applyNumberFormat="1" applyFont="1" applyBorder="1"/>
    <xf numFmtId="166" fontId="14" fillId="0" borderId="1" xfId="0" applyNumberFormat="1" applyFont="1" applyBorder="1"/>
    <xf numFmtId="0" fontId="14" fillId="0" borderId="1" xfId="0" applyFont="1" applyBorder="1"/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0" fillId="0" borderId="22" xfId="0" applyFill="1" applyBorder="1" applyAlignment="1">
      <alignment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2" fillId="0" borderId="0" xfId="0" applyFont="1" applyFill="1" applyBorder="1"/>
    <xf numFmtId="166" fontId="12" fillId="0" borderId="0" xfId="1" applyNumberFormat="1" applyFont="1" applyFill="1" applyBorder="1" applyAlignment="1">
      <alignment vertical="center"/>
    </xf>
    <xf numFmtId="166" fontId="12" fillId="0" borderId="0" xfId="1" applyNumberFormat="1" applyFont="1" applyFill="1" applyBorder="1"/>
    <xf numFmtId="166" fontId="0" fillId="0" borderId="6" xfId="1" applyNumberFormat="1" applyFont="1" applyFill="1" applyBorder="1"/>
    <xf numFmtId="166" fontId="0" fillId="0" borderId="6" xfId="0" applyNumberFormat="1" applyFont="1" applyFill="1" applyBorder="1"/>
    <xf numFmtId="166" fontId="1" fillId="0" borderId="1" xfId="1" applyNumberFormat="1" applyFont="1" applyBorder="1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 applyFill="1"/>
    <xf numFmtId="0" fontId="0" fillId="11" borderId="0" xfId="0" applyFill="1"/>
    <xf numFmtId="0" fontId="2" fillId="0" borderId="0" xfId="0" applyFont="1" applyAlignment="1">
      <alignment horizontal="center"/>
    </xf>
    <xf numFmtId="166" fontId="0" fillId="0" borderId="0" xfId="1" applyNumberFormat="1" applyFont="1" applyFill="1"/>
    <xf numFmtId="173" fontId="1" fillId="5" borderId="1" xfId="1" applyNumberFormat="1" applyFont="1" applyFill="1" applyBorder="1"/>
    <xf numFmtId="0" fontId="2" fillId="13" borderId="0" xfId="0" applyFont="1" applyFill="1"/>
    <xf numFmtId="166" fontId="0" fillId="5" borderId="1" xfId="1" applyNumberFormat="1" applyFont="1" applyFill="1" applyBorder="1"/>
    <xf numFmtId="10" fontId="0" fillId="5" borderId="1" xfId="0" applyNumberFormat="1" applyFill="1" applyBorder="1"/>
    <xf numFmtId="0" fontId="0" fillId="14" borderId="1" xfId="0" applyFill="1" applyBorder="1"/>
    <xf numFmtId="0" fontId="2" fillId="14" borderId="1" xfId="0" applyFont="1" applyFill="1" applyBorder="1"/>
    <xf numFmtId="166" fontId="0" fillId="14" borderId="1" xfId="0" applyNumberFormat="1" applyFill="1" applyBorder="1"/>
    <xf numFmtId="166" fontId="0" fillId="14" borderId="1" xfId="1" applyNumberFormat="1" applyFont="1" applyFill="1" applyBorder="1"/>
    <xf numFmtId="165" fontId="0" fillId="14" borderId="1" xfId="0" applyNumberFormat="1" applyFill="1" applyBorder="1"/>
    <xf numFmtId="165" fontId="2" fillId="14" borderId="1" xfId="0" applyNumberFormat="1" applyFont="1" applyFill="1" applyBorder="1"/>
    <xf numFmtId="2" fontId="0" fillId="14" borderId="1" xfId="0" applyNumberFormat="1" applyFill="1" applyBorder="1"/>
    <xf numFmtId="166" fontId="2" fillId="14" borderId="1" xfId="0" applyNumberFormat="1" applyFont="1" applyFill="1" applyBorder="1"/>
    <xf numFmtId="2" fontId="0" fillId="5" borderId="1" xfId="0" applyNumberFormat="1" applyFill="1" applyBorder="1"/>
    <xf numFmtId="0" fontId="2" fillId="5" borderId="1" xfId="0" applyFont="1" applyFill="1" applyBorder="1"/>
    <xf numFmtId="166" fontId="9" fillId="5" borderId="11" xfId="1" applyNumberFormat="1" applyFont="1" applyFill="1" applyBorder="1"/>
    <xf numFmtId="0" fontId="0" fillId="14" borderId="1" xfId="0" applyFont="1" applyFill="1" applyBorder="1"/>
    <xf numFmtId="0" fontId="0" fillId="15" borderId="1" xfId="0" applyFill="1" applyBorder="1"/>
    <xf numFmtId="166" fontId="0" fillId="15" borderId="1" xfId="1" applyNumberFormat="1" applyFont="1" applyFill="1" applyBorder="1"/>
    <xf numFmtId="0" fontId="2" fillId="15" borderId="1" xfId="0" applyFont="1" applyFill="1" applyBorder="1" applyAlignment="1">
      <alignment horizontal="center" vertical="center" wrapText="1"/>
    </xf>
    <xf numFmtId="0" fontId="0" fillId="15" borderId="1" xfId="0" applyFont="1" applyFill="1" applyBorder="1"/>
    <xf numFmtId="166" fontId="0" fillId="15" borderId="1" xfId="1" applyNumberFormat="1" applyFont="1" applyFill="1" applyBorder="1" applyAlignment="1">
      <alignment horizontal="center"/>
    </xf>
    <xf numFmtId="166" fontId="0" fillId="15" borderId="1" xfId="0" applyNumberFormat="1" applyFill="1" applyBorder="1"/>
    <xf numFmtId="0" fontId="0" fillId="15" borderId="1" xfId="0" applyFill="1" applyBorder="1" applyAlignment="1">
      <alignment horizontal="left" vertical="center"/>
    </xf>
    <xf numFmtId="0" fontId="2" fillId="0" borderId="7" xfId="0" applyFont="1" applyBorder="1"/>
    <xf numFmtId="0" fontId="0" fillId="10" borderId="10" xfId="0" applyFill="1" applyBorder="1"/>
    <xf numFmtId="166" fontId="2" fillId="0" borderId="0" xfId="0" applyNumberFormat="1" applyFont="1" applyAlignment="1">
      <alignment horizontal="center"/>
    </xf>
    <xf numFmtId="0" fontId="2" fillId="0" borderId="25" xfId="0" applyFont="1" applyBorder="1"/>
    <xf numFmtId="0" fontId="0" fillId="0" borderId="25" xfId="0" applyBorder="1"/>
    <xf numFmtId="166" fontId="0" fillId="0" borderId="25" xfId="1" applyNumberFormat="1" applyFont="1" applyBorder="1"/>
    <xf numFmtId="166" fontId="2" fillId="0" borderId="3" xfId="1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166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16" borderId="10" xfId="0" applyFill="1" applyBorder="1"/>
    <xf numFmtId="166" fontId="0" fillId="16" borderId="1" xfId="1" applyNumberFormat="1" applyFont="1" applyFill="1" applyBorder="1"/>
    <xf numFmtId="0" fontId="2" fillId="16" borderId="12" xfId="0" applyFont="1" applyFill="1" applyBorder="1"/>
    <xf numFmtId="166" fontId="2" fillId="16" borderId="13" xfId="1" applyNumberFormat="1" applyFont="1" applyFill="1" applyBorder="1"/>
    <xf numFmtId="166" fontId="2" fillId="16" borderId="0" xfId="1" applyNumberFormat="1" applyFont="1" applyFill="1"/>
    <xf numFmtId="0" fontId="2" fillId="16" borderId="0" xfId="0" applyFont="1" applyFill="1"/>
    <xf numFmtId="0" fontId="2" fillId="12" borderId="0" xfId="0" applyFont="1" applyFill="1"/>
    <xf numFmtId="0" fontId="0" fillId="12" borderId="0" xfId="0" applyFill="1"/>
    <xf numFmtId="166" fontId="0" fillId="12" borderId="0" xfId="1" applyNumberFormat="1" applyFont="1" applyFill="1"/>
    <xf numFmtId="37" fontId="0" fillId="4" borderId="0" xfId="1" applyNumberFormat="1" applyFont="1" applyFill="1"/>
    <xf numFmtId="166" fontId="1" fillId="12" borderId="0" xfId="1" applyNumberFormat="1" applyFont="1" applyFill="1"/>
    <xf numFmtId="166" fontId="2" fillId="16" borderId="3" xfId="1" applyNumberFormat="1" applyFont="1" applyFill="1" applyBorder="1"/>
    <xf numFmtId="0" fontId="0" fillId="2" borderId="0" xfId="0" applyFill="1"/>
    <xf numFmtId="0" fontId="2" fillId="2" borderId="1" xfId="0" applyFont="1" applyFill="1" applyBorder="1"/>
    <xf numFmtId="166" fontId="0" fillId="2" borderId="1" xfId="1" applyNumberFormat="1" applyFont="1" applyFill="1" applyBorder="1"/>
    <xf numFmtId="0" fontId="0" fillId="2" borderId="1" xfId="0" applyFill="1" applyBorder="1"/>
    <xf numFmtId="166" fontId="2" fillId="2" borderId="1" xfId="1" applyNumberFormat="1" applyFont="1" applyFill="1" applyBorder="1"/>
    <xf numFmtId="0" fontId="0" fillId="0" borderId="29" xfId="0" applyBorder="1"/>
    <xf numFmtId="10" fontId="0" fillId="10" borderId="4" xfId="0" applyNumberFormat="1" applyFill="1" applyBorder="1"/>
    <xf numFmtId="166" fontId="0" fillId="10" borderId="4" xfId="1" applyNumberFormat="1" applyFont="1" applyFill="1" applyBorder="1"/>
    <xf numFmtId="10" fontId="0" fillId="0" borderId="0" xfId="2" applyNumberFormat="1" applyFont="1" applyFill="1" applyBorder="1"/>
    <xf numFmtId="10" fontId="0" fillId="0" borderId="0" xfId="0" applyNumberFormat="1" applyFill="1" applyBorder="1"/>
    <xf numFmtId="0" fontId="25" fillId="0" borderId="0" xfId="0" applyFont="1" applyFill="1" applyBorder="1" applyAlignment="1">
      <alignment horizontal="center"/>
    </xf>
    <xf numFmtId="0" fontId="17" fillId="11" borderId="0" xfId="0" applyFont="1" applyFill="1"/>
    <xf numFmtId="0" fontId="3" fillId="11" borderId="0" xfId="0" applyFont="1" applyFill="1"/>
    <xf numFmtId="3" fontId="0" fillId="0" borderId="0" xfId="0" applyNumberFormat="1" applyFill="1"/>
    <xf numFmtId="9" fontId="0" fillId="0" borderId="0" xfId="2" applyFont="1" applyFill="1"/>
    <xf numFmtId="166" fontId="2" fillId="0" borderId="0" xfId="1" applyNumberFormat="1" applyFont="1" applyFill="1"/>
    <xf numFmtId="0" fontId="28" fillId="17" borderId="33" xfId="0" applyFont="1" applyFill="1" applyBorder="1" applyAlignment="1">
      <alignment horizontal="center" vertical="center"/>
    </xf>
    <xf numFmtId="0" fontId="28" fillId="17" borderId="34" xfId="0" applyFont="1" applyFill="1" applyBorder="1" applyAlignment="1">
      <alignment horizontal="center" vertical="center"/>
    </xf>
    <xf numFmtId="0" fontId="29" fillId="0" borderId="32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3" fontId="29" fillId="0" borderId="34" xfId="0" applyNumberFormat="1" applyFont="1" applyBorder="1" applyAlignment="1">
      <alignment horizontal="right" vertical="center"/>
    </xf>
    <xf numFmtId="17" fontId="0" fillId="0" borderId="0" xfId="0" applyNumberFormat="1"/>
    <xf numFmtId="17" fontId="29" fillId="0" borderId="34" xfId="0" applyNumberFormat="1" applyFont="1" applyBorder="1" applyAlignment="1">
      <alignment horizontal="center" vertical="center"/>
    </xf>
    <xf numFmtId="0" fontId="29" fillId="0" borderId="34" xfId="0" applyFont="1" applyBorder="1" applyAlignment="1">
      <alignment horizontal="right" vertical="center"/>
    </xf>
    <xf numFmtId="0" fontId="30" fillId="18" borderId="32" xfId="0" applyFont="1" applyFill="1" applyBorder="1" applyAlignment="1">
      <alignment horizontal="justify" vertical="center"/>
    </xf>
    <xf numFmtId="0" fontId="30" fillId="18" borderId="34" xfId="0" applyFont="1" applyFill="1" applyBorder="1" applyAlignment="1">
      <alignment vertical="center"/>
    </xf>
    <xf numFmtId="3" fontId="30" fillId="18" borderId="34" xfId="0" applyNumberFormat="1" applyFont="1" applyFill="1" applyBorder="1" applyAlignment="1">
      <alignment horizontal="right" vertical="center"/>
    </xf>
    <xf numFmtId="0" fontId="30" fillId="18" borderId="34" xfId="0" applyFont="1" applyFill="1" applyBorder="1" applyAlignment="1">
      <alignment horizontal="right" vertical="center"/>
    </xf>
    <xf numFmtId="0" fontId="29" fillId="0" borderId="35" xfId="0" applyFont="1" applyFill="1" applyBorder="1" applyAlignment="1">
      <alignment vertical="center"/>
    </xf>
    <xf numFmtId="0" fontId="0" fillId="0" borderId="36" xfId="0" applyBorder="1"/>
    <xf numFmtId="0" fontId="30" fillId="0" borderId="30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9" fillId="0" borderId="37" xfId="0" applyFont="1" applyBorder="1" applyAlignment="1">
      <alignment vertical="center"/>
    </xf>
    <xf numFmtId="0" fontId="30" fillId="18" borderId="32" xfId="0" applyFont="1" applyFill="1" applyBorder="1" applyAlignment="1">
      <alignment horizontal="left" vertical="center" indent="1"/>
    </xf>
    <xf numFmtId="0" fontId="26" fillId="0" borderId="0" xfId="0" applyFont="1"/>
    <xf numFmtId="0" fontId="35" fillId="0" borderId="1" xfId="0" applyFont="1" applyBorder="1"/>
    <xf numFmtId="0" fontId="33" fillId="0" borderId="1" xfId="0" applyFont="1" applyBorder="1" applyAlignment="1">
      <alignment vertical="center"/>
    </xf>
    <xf numFmtId="0" fontId="30" fillId="18" borderId="30" xfId="0" applyFont="1" applyFill="1" applyBorder="1" applyAlignment="1">
      <alignment vertical="center" wrapText="1"/>
    </xf>
    <xf numFmtId="0" fontId="30" fillId="18" borderId="28" xfId="0" applyFont="1" applyFill="1" applyBorder="1" applyAlignment="1">
      <alignment horizontal="center" vertical="center"/>
    </xf>
    <xf numFmtId="0" fontId="30" fillId="18" borderId="26" xfId="0" applyFont="1" applyFill="1" applyBorder="1" applyAlignment="1">
      <alignment vertical="center"/>
    </xf>
    <xf numFmtId="17" fontId="36" fillId="0" borderId="0" xfId="0" applyNumberFormat="1" applyFont="1" applyAlignment="1">
      <alignment horizontal="center" vertical="center"/>
    </xf>
    <xf numFmtId="17" fontId="30" fillId="0" borderId="0" xfId="0" applyNumberFormat="1" applyFont="1" applyAlignment="1">
      <alignment horizontal="center" vertical="center"/>
    </xf>
    <xf numFmtId="0" fontId="30" fillId="18" borderId="33" xfId="0" applyFont="1" applyFill="1" applyBorder="1" applyAlignment="1">
      <alignment horizontal="center" vertical="center"/>
    </xf>
    <xf numFmtId="0" fontId="30" fillId="18" borderId="34" xfId="0" applyFont="1" applyFill="1" applyBorder="1" applyAlignment="1">
      <alignment horizontal="center" vertical="center"/>
    </xf>
    <xf numFmtId="3" fontId="37" fillId="0" borderId="34" xfId="0" applyNumberFormat="1" applyFont="1" applyBorder="1" applyAlignment="1">
      <alignment horizontal="right" vertical="center"/>
    </xf>
    <xf numFmtId="0" fontId="37" fillId="0" borderId="34" xfId="0" applyFont="1" applyBorder="1" applyAlignment="1">
      <alignment horizontal="right" vertical="center"/>
    </xf>
    <xf numFmtId="0" fontId="27" fillId="18" borderId="32" xfId="0" applyFont="1" applyFill="1" applyBorder="1" applyAlignment="1">
      <alignment vertical="center"/>
    </xf>
    <xf numFmtId="3" fontId="32" fillId="18" borderId="34" xfId="0" applyNumberFormat="1" applyFont="1" applyFill="1" applyBorder="1" applyAlignment="1">
      <alignment horizontal="right" vertical="center"/>
    </xf>
    <xf numFmtId="0" fontId="32" fillId="0" borderId="30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20" borderId="28" xfId="0" applyFont="1" applyFill="1" applyBorder="1" applyAlignment="1">
      <alignment horizontal="center" vertical="center"/>
    </xf>
    <xf numFmtId="0" fontId="39" fillId="0" borderId="32" xfId="0" applyFont="1" applyBorder="1" applyAlignment="1">
      <alignment vertical="center"/>
    </xf>
    <xf numFmtId="0" fontId="29" fillId="18" borderId="34" xfId="0" applyFont="1" applyFill="1" applyBorder="1" applyAlignment="1">
      <alignment horizontal="center" vertical="center"/>
    </xf>
    <xf numFmtId="0" fontId="39" fillId="0" borderId="32" xfId="0" applyFont="1" applyBorder="1" applyAlignment="1">
      <alignment horizontal="left" vertical="center" indent="2"/>
    </xf>
    <xf numFmtId="0" fontId="39" fillId="0" borderId="32" xfId="0" applyFont="1" applyBorder="1" applyAlignment="1">
      <alignment horizontal="left" vertical="center" indent="1"/>
    </xf>
    <xf numFmtId="0" fontId="27" fillId="0" borderId="32" xfId="0" applyFont="1" applyBorder="1" applyAlignment="1">
      <alignment horizontal="left" vertical="center" indent="1"/>
    </xf>
    <xf numFmtId="10" fontId="0" fillId="0" borderId="0" xfId="0" applyNumberFormat="1"/>
    <xf numFmtId="166" fontId="35" fillId="16" borderId="1" xfId="1" applyNumberFormat="1" applyFont="1" applyFill="1" applyBorder="1"/>
    <xf numFmtId="3" fontId="30" fillId="18" borderId="1" xfId="0" applyNumberFormat="1" applyFont="1" applyFill="1" applyBorder="1" applyAlignment="1">
      <alignment horizontal="center" vertical="center"/>
    </xf>
    <xf numFmtId="166" fontId="35" fillId="16" borderId="1" xfId="0" applyNumberFormat="1" applyFont="1" applyFill="1" applyBorder="1"/>
    <xf numFmtId="166" fontId="41" fillId="16" borderId="13" xfId="0" applyNumberFormat="1" applyFont="1" applyFill="1" applyBorder="1"/>
    <xf numFmtId="166" fontId="41" fillId="16" borderId="13" xfId="1" applyNumberFormat="1" applyFont="1" applyFill="1" applyBorder="1"/>
    <xf numFmtId="166" fontId="41" fillId="16" borderId="14" xfId="1" applyNumberFormat="1" applyFont="1" applyFill="1" applyBorder="1"/>
    <xf numFmtId="3" fontId="37" fillId="0" borderId="38" xfId="0" applyNumberFormat="1" applyFont="1" applyBorder="1" applyAlignment="1">
      <alignment horizontal="right" vertical="center"/>
    </xf>
    <xf numFmtId="0" fontId="37" fillId="0" borderId="38" xfId="0" applyFont="1" applyBorder="1" applyAlignment="1">
      <alignment horizontal="right" vertical="center"/>
    </xf>
    <xf numFmtId="0" fontId="37" fillId="0" borderId="38" xfId="0" applyFont="1" applyBorder="1" applyAlignment="1">
      <alignment vertical="center"/>
    </xf>
    <xf numFmtId="166" fontId="32" fillId="0" borderId="28" xfId="1" applyNumberFormat="1" applyFont="1" applyBorder="1" applyAlignment="1">
      <alignment horizontal="right" vertical="center"/>
    </xf>
    <xf numFmtId="0" fontId="32" fillId="0" borderId="28" xfId="0" applyFont="1" applyBorder="1" applyAlignment="1">
      <alignment horizontal="right" vertical="center"/>
    </xf>
    <xf numFmtId="166" fontId="34" fillId="0" borderId="1" xfId="0" applyNumberFormat="1" applyFont="1" applyBorder="1"/>
    <xf numFmtId="0" fontId="34" fillId="0" borderId="1" xfId="0" applyFont="1" applyBorder="1"/>
    <xf numFmtId="17" fontId="34" fillId="0" borderId="1" xfId="0" applyNumberFormat="1" applyFont="1" applyBorder="1"/>
    <xf numFmtId="3" fontId="34" fillId="0" borderId="1" xfId="0" applyNumberFormat="1" applyFont="1" applyBorder="1"/>
    <xf numFmtId="166" fontId="37" fillId="0" borderId="34" xfId="0" applyNumberFormat="1" applyFont="1" applyBorder="1" applyAlignment="1">
      <alignment horizontal="right" vertical="center"/>
    </xf>
    <xf numFmtId="3" fontId="32" fillId="18" borderId="32" xfId="0" applyNumberFormat="1" applyFont="1" applyFill="1" applyBorder="1" applyAlignment="1">
      <alignment horizontal="right" vertical="center"/>
    </xf>
    <xf numFmtId="0" fontId="37" fillId="0" borderId="34" xfId="0" applyFont="1" applyBorder="1" applyAlignment="1">
      <alignment vertical="center"/>
    </xf>
    <xf numFmtId="4" fontId="30" fillId="18" borderId="1" xfId="0" applyNumberFormat="1" applyFont="1" applyFill="1" applyBorder="1" applyAlignment="1">
      <alignment horizontal="center" vertical="center"/>
    </xf>
    <xf numFmtId="17" fontId="36" fillId="19" borderId="0" xfId="0" applyNumberFormat="1" applyFont="1" applyFill="1" applyAlignment="1">
      <alignment horizontal="center" vertical="center"/>
    </xf>
    <xf numFmtId="3" fontId="42" fillId="0" borderId="38" xfId="0" applyNumberFormat="1" applyFont="1" applyBorder="1" applyAlignment="1">
      <alignment horizontal="right" vertical="center"/>
    </xf>
    <xf numFmtId="166" fontId="32" fillId="8" borderId="28" xfId="1" applyNumberFormat="1" applyFont="1" applyFill="1" applyBorder="1" applyAlignment="1">
      <alignment horizontal="right" vertical="center"/>
    </xf>
    <xf numFmtId="166" fontId="27" fillId="0" borderId="30" xfId="1" applyNumberFormat="1" applyFont="1" applyBorder="1" applyAlignment="1">
      <alignment horizontal="center" vertical="center"/>
    </xf>
    <xf numFmtId="0" fontId="32" fillId="10" borderId="30" xfId="0" applyFont="1" applyFill="1" applyBorder="1" applyAlignment="1">
      <alignment horizontal="center" vertical="center"/>
    </xf>
    <xf numFmtId="166" fontId="27" fillId="10" borderId="30" xfId="1" applyNumberFormat="1" applyFont="1" applyFill="1" applyBorder="1" applyAlignment="1">
      <alignment horizontal="center" vertical="center"/>
    </xf>
    <xf numFmtId="166" fontId="37" fillId="0" borderId="38" xfId="1" applyNumberFormat="1" applyFont="1" applyBorder="1" applyAlignment="1">
      <alignment vertical="center"/>
    </xf>
    <xf numFmtId="3" fontId="32" fillId="0" borderId="34" xfId="0" applyNumberFormat="1" applyFont="1" applyFill="1" applyBorder="1" applyAlignment="1">
      <alignment horizontal="right" vertical="center"/>
    </xf>
    <xf numFmtId="3" fontId="37" fillId="0" borderId="25" xfId="0" applyNumberFormat="1" applyFont="1" applyBorder="1" applyAlignment="1">
      <alignment horizontal="right" vertical="center"/>
    </xf>
    <xf numFmtId="3" fontId="32" fillId="18" borderId="25" xfId="0" applyNumberFormat="1" applyFont="1" applyFill="1" applyBorder="1" applyAlignment="1">
      <alignment horizontal="right" vertical="center"/>
    </xf>
    <xf numFmtId="17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horizontal="right" vertical="center"/>
    </xf>
    <xf numFmtId="166" fontId="37" fillId="0" borderId="34" xfId="1" applyNumberFormat="1" applyFont="1" applyBorder="1" applyAlignment="1">
      <alignment horizontal="right" vertical="center"/>
    </xf>
    <xf numFmtId="0" fontId="35" fillId="3" borderId="1" xfId="0" applyFont="1" applyFill="1" applyBorder="1"/>
    <xf numFmtId="166" fontId="34" fillId="3" borderId="1" xfId="0" applyNumberFormat="1" applyFont="1" applyFill="1" applyBorder="1"/>
    <xf numFmtId="3" fontId="37" fillId="3" borderId="34" xfId="0" applyNumberFormat="1" applyFont="1" applyFill="1" applyBorder="1" applyAlignment="1">
      <alignment horizontal="right" vertical="center"/>
    </xf>
    <xf numFmtId="0" fontId="43" fillId="3" borderId="0" xfId="0" applyFont="1" applyFill="1"/>
    <xf numFmtId="10" fontId="0" fillId="3" borderId="0" xfId="0" applyNumberFormat="1" applyFill="1"/>
    <xf numFmtId="166" fontId="41" fillId="16" borderId="1" xfId="1" applyNumberFormat="1" applyFont="1" applyFill="1" applyBorder="1"/>
    <xf numFmtId="0" fontId="16" fillId="0" borderId="36" xfId="0" applyFont="1" applyBorder="1"/>
    <xf numFmtId="4" fontId="44" fillId="18" borderId="34" xfId="0" applyNumberFormat="1" applyFont="1" applyFill="1" applyBorder="1" applyAlignment="1">
      <alignment horizontal="right" vertical="center"/>
    </xf>
    <xf numFmtId="0" fontId="45" fillId="0" borderId="0" xfId="0" applyFont="1"/>
    <xf numFmtId="0" fontId="45" fillId="21" borderId="10" xfId="0" applyFont="1" applyFill="1" applyBorder="1"/>
    <xf numFmtId="0" fontId="45" fillId="21" borderId="11" xfId="0" applyFont="1" applyFill="1" applyBorder="1"/>
    <xf numFmtId="0" fontId="45" fillId="0" borderId="0" xfId="0" applyFont="1" applyFill="1" applyBorder="1"/>
    <xf numFmtId="0" fontId="45" fillId="7" borderId="10" xfId="0" applyFont="1" applyFill="1" applyBorder="1"/>
    <xf numFmtId="0" fontId="45" fillId="7" borderId="11" xfId="0" applyFont="1" applyFill="1" applyBorder="1"/>
    <xf numFmtId="166" fontId="18" fillId="0" borderId="1" xfId="1" applyNumberFormat="1" applyFont="1" applyBorder="1"/>
    <xf numFmtId="17" fontId="8" fillId="0" borderId="0" xfId="0" applyNumberFormat="1" applyFont="1" applyFill="1" applyAlignment="1">
      <alignment horizontal="center"/>
    </xf>
    <xf numFmtId="17" fontId="8" fillId="9" borderId="0" xfId="0" applyNumberFormat="1" applyFont="1" applyFill="1" applyAlignment="1">
      <alignment horizontal="center"/>
    </xf>
    <xf numFmtId="17" fontId="0" fillId="0" borderId="0" xfId="0" applyNumberFormat="1" applyAlignment="1">
      <alignment horizontal="center"/>
    </xf>
    <xf numFmtId="15" fontId="0" fillId="0" borderId="0" xfId="0" applyNumberFormat="1"/>
    <xf numFmtId="174" fontId="0" fillId="0" borderId="0" xfId="0" applyNumberFormat="1"/>
    <xf numFmtId="0" fontId="0" fillId="23" borderId="0" xfId="0" applyFill="1"/>
    <xf numFmtId="0" fontId="45" fillId="21" borderId="14" xfId="0" applyFont="1" applyFill="1" applyBorder="1" applyAlignment="1">
      <alignment wrapText="1"/>
    </xf>
    <xf numFmtId="0" fontId="45" fillId="21" borderId="12" xfId="0" applyFont="1" applyFill="1" applyBorder="1" applyAlignment="1">
      <alignment vertical="center"/>
    </xf>
    <xf numFmtId="0" fontId="49" fillId="0" borderId="0" xfId="0" applyFont="1" applyAlignment="1">
      <alignment horizontal="center"/>
    </xf>
    <xf numFmtId="17" fontId="36" fillId="22" borderId="0" xfId="0" applyNumberFormat="1" applyFont="1" applyFill="1" applyAlignment="1">
      <alignment horizontal="center" vertical="center"/>
    </xf>
    <xf numFmtId="0" fontId="52" fillId="0" borderId="0" xfId="0" applyFont="1" applyFill="1"/>
    <xf numFmtId="0" fontId="15" fillId="0" borderId="0" xfId="0" applyFont="1" applyFill="1"/>
    <xf numFmtId="17" fontId="36" fillId="0" borderId="0" xfId="0" applyNumberFormat="1" applyFont="1" applyFill="1" applyAlignment="1">
      <alignment horizontal="center" vertical="center"/>
    </xf>
    <xf numFmtId="17" fontId="30" fillId="0" borderId="0" xfId="0" applyNumberFormat="1" applyFont="1" applyFill="1" applyBorder="1" applyAlignment="1">
      <alignment horizontal="left" vertical="center"/>
    </xf>
    <xf numFmtId="17" fontId="30" fillId="22" borderId="0" xfId="0" applyNumberFormat="1" applyFont="1" applyFill="1" applyAlignment="1">
      <alignment horizontal="center" vertical="center"/>
    </xf>
    <xf numFmtId="166" fontId="37" fillId="0" borderId="34" xfId="0" applyNumberFormat="1" applyFont="1" applyFill="1" applyBorder="1" applyAlignment="1">
      <alignment horizontal="right" vertical="center"/>
    </xf>
    <xf numFmtId="3" fontId="37" fillId="0" borderId="34" xfId="0" applyNumberFormat="1" applyFont="1" applyFill="1" applyBorder="1" applyAlignment="1">
      <alignment horizontal="right" vertical="center"/>
    </xf>
    <xf numFmtId="3" fontId="27" fillId="0" borderId="30" xfId="1" applyNumberFormat="1" applyFont="1" applyBorder="1" applyAlignment="1">
      <alignment horizontal="right" vertical="center"/>
    </xf>
    <xf numFmtId="10" fontId="27" fillId="0" borderId="30" xfId="2" applyNumberFormat="1" applyFont="1" applyBorder="1" applyAlignment="1">
      <alignment horizontal="right" vertical="center"/>
    </xf>
    <xf numFmtId="0" fontId="53" fillId="0" borderId="0" xfId="0" applyFont="1" applyFill="1" applyBorder="1" applyAlignment="1"/>
    <xf numFmtId="0" fontId="45" fillId="6" borderId="43" xfId="0" applyFont="1" applyFill="1" applyBorder="1" applyAlignment="1">
      <alignment horizontal="left"/>
    </xf>
    <xf numFmtId="0" fontId="45" fillId="6" borderId="44" xfId="0" applyFont="1" applyFill="1" applyBorder="1" applyAlignment="1">
      <alignment horizontal="left"/>
    </xf>
    <xf numFmtId="0" fontId="53" fillId="6" borderId="11" xfId="0" applyFont="1" applyFill="1" applyBorder="1" applyAlignment="1"/>
    <xf numFmtId="0" fontId="53" fillId="6" borderId="14" xfId="0" applyFont="1" applyFill="1" applyBorder="1" applyAlignment="1"/>
    <xf numFmtId="0" fontId="0" fillId="4" borderId="0" xfId="0" applyFill="1" applyAlignment="1">
      <alignment horizontal="center"/>
    </xf>
    <xf numFmtId="3" fontId="37" fillId="0" borderId="0" xfId="0" applyNumberFormat="1" applyFont="1" applyBorder="1" applyAlignment="1">
      <alignment horizontal="right" vertical="center"/>
    </xf>
    <xf numFmtId="3" fontId="37" fillId="0" borderId="3" xfId="0" applyNumberFormat="1" applyFont="1" applyBorder="1" applyAlignment="1">
      <alignment horizontal="right" vertical="center"/>
    </xf>
    <xf numFmtId="0" fontId="29" fillId="0" borderId="48" xfId="0" applyFont="1" applyBorder="1" applyAlignment="1">
      <alignment vertical="center"/>
    </xf>
    <xf numFmtId="0" fontId="27" fillId="18" borderId="20" xfId="0" applyFont="1" applyFill="1" applyBorder="1" applyAlignment="1">
      <alignment vertical="center"/>
    </xf>
    <xf numFmtId="3" fontId="32" fillId="18" borderId="13" xfId="0" applyNumberFormat="1" applyFont="1" applyFill="1" applyBorder="1" applyAlignment="1">
      <alignment horizontal="right" vertical="center"/>
    </xf>
    <xf numFmtId="3" fontId="37" fillId="4" borderId="34" xfId="0" applyNumberFormat="1" applyFont="1" applyFill="1" applyBorder="1" applyAlignment="1">
      <alignment horizontal="right" vertical="center"/>
    </xf>
    <xf numFmtId="17" fontId="34" fillId="4" borderId="1" xfId="0" applyNumberFormat="1" applyFont="1" applyFill="1" applyBorder="1"/>
    <xf numFmtId="0" fontId="29" fillId="0" borderId="10" xfId="0" applyFont="1" applyBorder="1" applyAlignment="1">
      <alignment vertical="center"/>
    </xf>
    <xf numFmtId="3" fontId="37" fillId="0" borderId="38" xfId="0" applyNumberFormat="1" applyFont="1" applyFill="1" applyBorder="1" applyAlignment="1">
      <alignment horizontal="right" vertical="center"/>
    </xf>
    <xf numFmtId="166" fontId="37" fillId="4" borderId="34" xfId="0" applyNumberFormat="1" applyFont="1" applyFill="1" applyBorder="1" applyAlignment="1">
      <alignment horizontal="right" vertical="center"/>
    </xf>
    <xf numFmtId="3" fontId="37" fillId="24" borderId="38" xfId="0" applyNumberFormat="1" applyFont="1" applyFill="1" applyBorder="1" applyAlignment="1">
      <alignment horizontal="right" vertical="center"/>
    </xf>
    <xf numFmtId="3" fontId="37" fillId="24" borderId="34" xfId="0" applyNumberFormat="1" applyFont="1" applyFill="1" applyBorder="1" applyAlignment="1">
      <alignment horizontal="right" vertical="center"/>
    </xf>
    <xf numFmtId="3" fontId="37" fillId="24" borderId="3" xfId="0" applyNumberFormat="1" applyFont="1" applyFill="1" applyBorder="1" applyAlignment="1">
      <alignment horizontal="right" vertical="center"/>
    </xf>
    <xf numFmtId="17" fontId="34" fillId="0" borderId="1" xfId="0" applyNumberFormat="1" applyFont="1" applyFill="1" applyBorder="1"/>
    <xf numFmtId="0" fontId="37" fillId="0" borderId="38" xfId="0" applyFont="1" applyFill="1" applyBorder="1" applyAlignment="1">
      <alignment horizontal="right" vertical="center"/>
    </xf>
    <xf numFmtId="0" fontId="37" fillId="0" borderId="38" xfId="0" applyFont="1" applyFill="1" applyBorder="1" applyAlignment="1">
      <alignment vertical="center"/>
    </xf>
    <xf numFmtId="166" fontId="32" fillId="0" borderId="28" xfId="1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/>
    <xf numFmtId="0" fontId="0" fillId="0" borderId="30" xfId="0" applyBorder="1"/>
    <xf numFmtId="0" fontId="45" fillId="0" borderId="0" xfId="0" applyFont="1" applyAlignment="1"/>
    <xf numFmtId="0" fontId="0" fillId="0" borderId="0" xfId="0" applyAlignment="1">
      <alignment wrapText="1"/>
    </xf>
    <xf numFmtId="0" fontId="46" fillId="22" borderId="26" xfId="0" applyFont="1" applyFill="1" applyBorder="1" applyAlignment="1">
      <alignment horizontal="center" wrapText="1"/>
    </xf>
    <xf numFmtId="0" fontId="46" fillId="22" borderId="28" xfId="0" applyFont="1" applyFill="1" applyBorder="1" applyAlignment="1">
      <alignment horizontal="center" wrapText="1"/>
    </xf>
    <xf numFmtId="0" fontId="47" fillId="21" borderId="41" xfId="0" applyFont="1" applyFill="1" applyBorder="1" applyAlignment="1">
      <alignment horizontal="left"/>
    </xf>
    <xf numFmtId="0" fontId="47" fillId="21" borderId="42" xfId="0" applyFont="1" applyFill="1" applyBorder="1" applyAlignment="1">
      <alignment horizontal="left"/>
    </xf>
    <xf numFmtId="0" fontId="47" fillId="6" borderId="7" xfId="0" applyFont="1" applyFill="1" applyBorder="1" applyAlignment="1">
      <alignment horizontal="left"/>
    </xf>
    <xf numFmtId="0" fontId="47" fillId="6" borderId="19" xfId="0" applyFont="1" applyFill="1" applyBorder="1" applyAlignment="1">
      <alignment horizontal="left"/>
    </xf>
    <xf numFmtId="0" fontId="47" fillId="7" borderId="41" xfId="0" applyFont="1" applyFill="1" applyBorder="1" applyAlignment="1">
      <alignment horizontal="left"/>
    </xf>
    <xf numFmtId="0" fontId="47" fillId="7" borderId="42" xfId="0" applyFont="1" applyFill="1" applyBorder="1" applyAlignment="1">
      <alignment horizontal="left"/>
    </xf>
    <xf numFmtId="0" fontId="18" fillId="2" borderId="2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66" fontId="4" fillId="0" borderId="4" xfId="1" applyNumberFormat="1" applyFont="1" applyFill="1" applyBorder="1" applyAlignment="1">
      <alignment horizontal="left"/>
    </xf>
    <xf numFmtId="166" fontId="4" fillId="0" borderId="5" xfId="1" applyNumberFormat="1" applyFont="1" applyFill="1" applyBorder="1" applyAlignment="1">
      <alignment horizontal="left"/>
    </xf>
    <xf numFmtId="166" fontId="4" fillId="0" borderId="3" xfId="1" applyNumberFormat="1" applyFont="1" applyFill="1" applyBorder="1" applyAlignment="1">
      <alignment horizontal="left"/>
    </xf>
    <xf numFmtId="0" fontId="8" fillId="14" borderId="26" xfId="0" applyFont="1" applyFill="1" applyBorder="1" applyAlignment="1">
      <alignment horizontal="center"/>
    </xf>
    <xf numFmtId="0" fontId="8" fillId="14" borderId="27" xfId="0" applyFont="1" applyFill="1" applyBorder="1" applyAlignment="1">
      <alignment horizontal="center"/>
    </xf>
    <xf numFmtId="0" fontId="8" fillId="14" borderId="28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2" fillId="17" borderId="31" xfId="0" applyFont="1" applyFill="1" applyBorder="1" applyAlignment="1">
      <alignment horizontal="center" vertical="center" wrapText="1"/>
    </xf>
    <xf numFmtId="0" fontId="32" fillId="17" borderId="37" xfId="0" applyFont="1" applyFill="1" applyBorder="1" applyAlignment="1">
      <alignment horizontal="center" vertical="center" wrapText="1"/>
    </xf>
    <xf numFmtId="0" fontId="30" fillId="18" borderId="31" xfId="0" applyFont="1" applyFill="1" applyBorder="1" applyAlignment="1">
      <alignment horizontal="center" vertical="center" wrapText="1"/>
    </xf>
    <xf numFmtId="0" fontId="30" fillId="18" borderId="37" xfId="0" applyFont="1" applyFill="1" applyBorder="1" applyAlignment="1">
      <alignment horizontal="center" vertical="center" wrapText="1"/>
    </xf>
    <xf numFmtId="0" fontId="27" fillId="18" borderId="31" xfId="0" applyFont="1" applyFill="1" applyBorder="1" applyAlignment="1">
      <alignment vertical="center" wrapText="1"/>
    </xf>
    <xf numFmtId="0" fontId="27" fillId="18" borderId="39" xfId="0" applyFont="1" applyFill="1" applyBorder="1" applyAlignment="1">
      <alignment vertical="center" wrapText="1"/>
    </xf>
    <xf numFmtId="0" fontId="30" fillId="18" borderId="31" xfId="0" applyFont="1" applyFill="1" applyBorder="1" applyAlignment="1">
      <alignment horizontal="center" vertical="center"/>
    </xf>
    <xf numFmtId="0" fontId="30" fillId="18" borderId="39" xfId="0" applyFont="1" applyFill="1" applyBorder="1" applyAlignment="1">
      <alignment horizontal="center" vertical="center"/>
    </xf>
    <xf numFmtId="0" fontId="30" fillId="17" borderId="31" xfId="0" applyFont="1" applyFill="1" applyBorder="1" applyAlignment="1">
      <alignment vertical="center" wrapText="1"/>
    </xf>
    <xf numFmtId="0" fontId="30" fillId="17" borderId="37" xfId="0" applyFont="1" applyFill="1" applyBorder="1" applyAlignment="1">
      <alignment vertical="center" wrapText="1"/>
    </xf>
    <xf numFmtId="0" fontId="30" fillId="18" borderId="31" xfId="0" applyFont="1" applyFill="1" applyBorder="1" applyAlignment="1">
      <alignment vertical="center" wrapText="1"/>
    </xf>
    <xf numFmtId="0" fontId="30" fillId="18" borderId="37" xfId="0" applyFont="1" applyFill="1" applyBorder="1" applyAlignment="1">
      <alignment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30" fillId="18" borderId="23" xfId="0" applyFont="1" applyFill="1" applyBorder="1" applyAlignment="1">
      <alignment horizontal="center" vertical="center"/>
    </xf>
    <xf numFmtId="0" fontId="30" fillId="18" borderId="40" xfId="0" applyFont="1" applyFill="1" applyBorder="1" applyAlignment="1">
      <alignment horizontal="center" vertical="center"/>
    </xf>
    <xf numFmtId="0" fontId="27" fillId="18" borderId="17" xfId="0" applyFont="1" applyFill="1" applyBorder="1" applyAlignment="1">
      <alignment vertical="center" wrapText="1"/>
    </xf>
    <xf numFmtId="0" fontId="27" fillId="18" borderId="47" xfId="0" applyFont="1" applyFill="1" applyBorder="1" applyAlignment="1">
      <alignment vertical="center" wrapText="1"/>
    </xf>
    <xf numFmtId="0" fontId="30" fillId="18" borderId="45" xfId="0" applyFont="1" applyFill="1" applyBorder="1" applyAlignment="1">
      <alignment horizontal="center" vertical="center"/>
    </xf>
    <xf numFmtId="0" fontId="30" fillId="18" borderId="46" xfId="0" applyFont="1" applyFill="1" applyBorder="1" applyAlignment="1">
      <alignment horizontal="center" vertical="center"/>
    </xf>
    <xf numFmtId="0" fontId="0" fillId="25" borderId="36" xfId="0" applyFill="1" applyBorder="1"/>
    <xf numFmtId="171" fontId="27" fillId="25" borderId="30" xfId="1" applyNumberFormat="1" applyFont="1" applyFill="1" applyBorder="1" applyAlignment="1">
      <alignment horizontal="center" vertical="center"/>
    </xf>
    <xf numFmtId="166" fontId="2" fillId="25" borderId="1" xfId="1" applyNumberFormat="1" applyFont="1" applyFill="1" applyBorder="1"/>
  </cellXfs>
  <cellStyles count="27">
    <cellStyle name="Categoría del Piloto de Datos" xfId="7" xr:uid="{00000000-0005-0000-0000-000000000000}"/>
    <cellStyle name="Euro" xfId="8" xr:uid="{00000000-0005-0000-0000-000001000000}"/>
    <cellStyle name="Millares" xfId="1" builtinId="3"/>
    <cellStyle name="Millares [0]" xfId="6" builtinId="6"/>
    <cellStyle name="Millares 2" xfId="4" xr:uid="{00000000-0005-0000-0000-000005000000}"/>
    <cellStyle name="Millares 2 2" xfId="9" xr:uid="{00000000-0005-0000-0000-000006000000}"/>
    <cellStyle name="Millares 3" xfId="10" xr:uid="{00000000-0005-0000-0000-000007000000}"/>
    <cellStyle name="Millares 3 2" xfId="11" xr:uid="{00000000-0005-0000-0000-000008000000}"/>
    <cellStyle name="Normal" xfId="0" builtinId="0"/>
    <cellStyle name="Normal 2" xfId="3" xr:uid="{00000000-0005-0000-0000-00000A000000}"/>
    <cellStyle name="Normal 2 2" xfId="12" xr:uid="{00000000-0005-0000-0000-00000B000000}"/>
    <cellStyle name="Normal 3" xfId="5" xr:uid="{00000000-0005-0000-0000-00000C000000}"/>
    <cellStyle name="Normal 3 2" xfId="13" xr:uid="{00000000-0005-0000-0000-00000D000000}"/>
    <cellStyle name="Normal 4" xfId="14" xr:uid="{00000000-0005-0000-0000-00000E000000}"/>
    <cellStyle name="Normal 5" xfId="15" xr:uid="{00000000-0005-0000-0000-00000F000000}"/>
    <cellStyle name="Normal 5 2" xfId="16" xr:uid="{00000000-0005-0000-0000-000010000000}"/>
    <cellStyle name="Normal 6" xfId="17" xr:uid="{00000000-0005-0000-0000-000011000000}"/>
    <cellStyle name="Piloto de Datos Ángulo" xfId="18" xr:uid="{00000000-0005-0000-0000-000012000000}"/>
    <cellStyle name="Piloto de Datos Campo" xfId="19" xr:uid="{00000000-0005-0000-0000-000013000000}"/>
    <cellStyle name="Piloto de Datos Resultado" xfId="20" xr:uid="{00000000-0005-0000-0000-000014000000}"/>
    <cellStyle name="Piloto de Datos Título" xfId="21" xr:uid="{00000000-0005-0000-0000-000015000000}"/>
    <cellStyle name="Piloto de Datos Valor" xfId="22" xr:uid="{00000000-0005-0000-0000-000016000000}"/>
    <cellStyle name="Porcentaje" xfId="2" builtinId="5"/>
    <cellStyle name="Porcentaje 2" xfId="23" xr:uid="{00000000-0005-0000-0000-000018000000}"/>
    <cellStyle name="Porcentaje 3" xfId="24" xr:uid="{00000000-0005-0000-0000-000019000000}"/>
    <cellStyle name="Porcentaje 4" xfId="25" xr:uid="{00000000-0005-0000-0000-00001A000000}"/>
    <cellStyle name="Porcentual 2" xfId="26" xr:uid="{00000000-0005-0000-0000-00001B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13" Type="http://schemas.openxmlformats.org/officeDocument/2006/relationships/image" Target="../media/image18.png"/><Relationship Id="rId3" Type="http://schemas.openxmlformats.org/officeDocument/2006/relationships/image" Target="../media/image7.png"/><Relationship Id="rId7" Type="http://schemas.openxmlformats.org/officeDocument/2006/relationships/image" Target="../media/image12.png"/><Relationship Id="rId12" Type="http://schemas.openxmlformats.org/officeDocument/2006/relationships/image" Target="../media/image1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1.png"/><Relationship Id="rId11" Type="http://schemas.openxmlformats.org/officeDocument/2006/relationships/image" Target="../media/image16.png"/><Relationship Id="rId5" Type="http://schemas.openxmlformats.org/officeDocument/2006/relationships/image" Target="../media/image10.png"/><Relationship Id="rId10" Type="http://schemas.openxmlformats.org/officeDocument/2006/relationships/image" Target="../media/image15.png"/><Relationship Id="rId4" Type="http://schemas.openxmlformats.org/officeDocument/2006/relationships/image" Target="../media/image8.png"/><Relationship Id="rId9" Type="http://schemas.openxmlformats.org/officeDocument/2006/relationships/image" Target="../media/image1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10</xdr:col>
          <xdr:colOff>66675</xdr:colOff>
          <xdr:row>5</xdr:row>
          <xdr:rowOff>123825</xdr:rowOff>
        </xdr:to>
        <xdr:sp macro="" textlink="">
          <xdr:nvSpPr>
            <xdr:cNvPr id="6145" name="Control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9525</xdr:colOff>
      <xdr:row>1</xdr:row>
      <xdr:rowOff>0</xdr:rowOff>
    </xdr:from>
    <xdr:to>
      <xdr:col>10</xdr:col>
      <xdr:colOff>95250</xdr:colOff>
      <xdr:row>1</xdr:row>
      <xdr:rowOff>92075</xdr:rowOff>
    </xdr:to>
    <xdr:pic>
      <xdr:nvPicPr>
        <xdr:cNvPr id="3" name="2 Imagen" descr="http://icd.dane.gov.co:8080/Dane/jpivot/table/drill-position-other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0" y="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10</xdr:col>
          <xdr:colOff>180975</xdr:colOff>
          <xdr:row>5</xdr:row>
          <xdr:rowOff>123825</xdr:rowOff>
        </xdr:to>
        <xdr:sp macro="" textlink="">
          <xdr:nvSpPr>
            <xdr:cNvPr id="19457" name="Control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2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9525</xdr:colOff>
      <xdr:row>1</xdr:row>
      <xdr:rowOff>0</xdr:rowOff>
    </xdr:from>
    <xdr:to>
      <xdr:col>10</xdr:col>
      <xdr:colOff>95250</xdr:colOff>
      <xdr:row>1</xdr:row>
      <xdr:rowOff>85725</xdr:rowOff>
    </xdr:to>
    <xdr:pic>
      <xdr:nvPicPr>
        <xdr:cNvPr id="3" name="2 Imagen" descr="http://icd.dane.gov.co:8080/Dane/jpivot/table/drill-position-other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0" y="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10</xdr:col>
          <xdr:colOff>180975</xdr:colOff>
          <xdr:row>5</xdr:row>
          <xdr:rowOff>123825</xdr:rowOff>
        </xdr:to>
        <xdr:sp macro="" textlink="">
          <xdr:nvSpPr>
            <xdr:cNvPr id="26625" name="Control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3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9525</xdr:colOff>
      <xdr:row>1</xdr:row>
      <xdr:rowOff>0</xdr:rowOff>
    </xdr:from>
    <xdr:to>
      <xdr:col>10</xdr:col>
      <xdr:colOff>95250</xdr:colOff>
      <xdr:row>1</xdr:row>
      <xdr:rowOff>85725</xdr:rowOff>
    </xdr:to>
    <xdr:pic>
      <xdr:nvPicPr>
        <xdr:cNvPr id="3" name="2 Imagen" descr="http://icd.dane.gov.co:8080/Dane/jpivot/table/drill-position-other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0" y="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40</xdr:row>
      <xdr:rowOff>9525</xdr:rowOff>
    </xdr:from>
    <xdr:to>
      <xdr:col>0</xdr:col>
      <xdr:colOff>2924175</xdr:colOff>
      <xdr:row>40</xdr:row>
      <xdr:rowOff>180975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277225"/>
          <a:ext cx="27908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49</xdr:row>
      <xdr:rowOff>0</xdr:rowOff>
    </xdr:from>
    <xdr:to>
      <xdr:col>5</xdr:col>
      <xdr:colOff>619125</xdr:colOff>
      <xdr:row>50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12487275"/>
          <a:ext cx="6191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78</xdr:row>
      <xdr:rowOff>47627</xdr:rowOff>
    </xdr:from>
    <xdr:to>
      <xdr:col>2</xdr:col>
      <xdr:colOff>676275</xdr:colOff>
      <xdr:row>79</xdr:row>
      <xdr:rowOff>47627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2438" y="14390690"/>
          <a:ext cx="676275" cy="182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323850</xdr:colOff>
      <xdr:row>79</xdr:row>
      <xdr:rowOff>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7002125"/>
          <a:ext cx="3238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78</xdr:row>
      <xdr:rowOff>0</xdr:rowOff>
    </xdr:from>
    <xdr:to>
      <xdr:col>7</xdr:col>
      <xdr:colOff>133350</xdr:colOff>
      <xdr:row>78</xdr:row>
      <xdr:rowOff>171450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002125"/>
          <a:ext cx="1333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447676</xdr:colOff>
      <xdr:row>78</xdr:row>
      <xdr:rowOff>38100</xdr:rowOff>
    </xdr:from>
    <xdr:to>
      <xdr:col>8</xdr:col>
      <xdr:colOff>38101</xdr:colOff>
      <xdr:row>79</xdr:row>
      <xdr:rowOff>171450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1" y="20021550"/>
          <a:ext cx="3619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419100</xdr:colOff>
      <xdr:row>172</xdr:row>
      <xdr:rowOff>57150</xdr:rowOff>
    </xdr:from>
    <xdr:to>
      <xdr:col>0</xdr:col>
      <xdr:colOff>1819275</xdr:colOff>
      <xdr:row>173</xdr:row>
      <xdr:rowOff>9525</xdr:rowOff>
    </xdr:to>
    <xdr:pic>
      <xdr:nvPicPr>
        <xdr:cNvPr id="41" name="Imagen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3556575"/>
          <a:ext cx="14001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39</xdr:row>
      <xdr:rowOff>9525</xdr:rowOff>
    </xdr:from>
    <xdr:to>
      <xdr:col>0</xdr:col>
      <xdr:colOff>2924175</xdr:colOff>
      <xdr:row>39</xdr:row>
      <xdr:rowOff>180975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553325"/>
          <a:ext cx="23526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48</xdr:row>
      <xdr:rowOff>0</xdr:rowOff>
    </xdr:from>
    <xdr:to>
      <xdr:col>5</xdr:col>
      <xdr:colOff>619125</xdr:colOff>
      <xdr:row>49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9277350"/>
          <a:ext cx="6191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77</xdr:row>
      <xdr:rowOff>0</xdr:rowOff>
    </xdr:from>
    <xdr:to>
      <xdr:col>2</xdr:col>
      <xdr:colOff>676275</xdr:colOff>
      <xdr:row>78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944725"/>
          <a:ext cx="676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323850</xdr:colOff>
      <xdr:row>78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4944725"/>
          <a:ext cx="3238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77</xdr:row>
      <xdr:rowOff>0</xdr:rowOff>
    </xdr:from>
    <xdr:to>
      <xdr:col>7</xdr:col>
      <xdr:colOff>133350</xdr:colOff>
      <xdr:row>77</xdr:row>
      <xdr:rowOff>171450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4944725"/>
          <a:ext cx="1333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447676</xdr:colOff>
      <xdr:row>77</xdr:row>
      <xdr:rowOff>38100</xdr:rowOff>
    </xdr:from>
    <xdr:to>
      <xdr:col>8</xdr:col>
      <xdr:colOff>38101</xdr:colOff>
      <xdr:row>78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6" y="14982825"/>
          <a:ext cx="4286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419100</xdr:colOff>
      <xdr:row>171</xdr:row>
      <xdr:rowOff>57150</xdr:rowOff>
    </xdr:from>
    <xdr:to>
      <xdr:col>0</xdr:col>
      <xdr:colOff>1819275</xdr:colOff>
      <xdr:row>172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3556575"/>
          <a:ext cx="14001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39</xdr:row>
      <xdr:rowOff>9525</xdr:rowOff>
    </xdr:from>
    <xdr:to>
      <xdr:col>0</xdr:col>
      <xdr:colOff>2924175</xdr:colOff>
      <xdr:row>39</xdr:row>
      <xdr:rowOff>180975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553325"/>
          <a:ext cx="23526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48</xdr:row>
      <xdr:rowOff>0</xdr:rowOff>
    </xdr:from>
    <xdr:to>
      <xdr:col>5</xdr:col>
      <xdr:colOff>619125</xdr:colOff>
      <xdr:row>49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9277350"/>
          <a:ext cx="6191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77</xdr:row>
      <xdr:rowOff>0</xdr:rowOff>
    </xdr:from>
    <xdr:to>
      <xdr:col>2</xdr:col>
      <xdr:colOff>676275</xdr:colOff>
      <xdr:row>78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944725"/>
          <a:ext cx="676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323850</xdr:colOff>
      <xdr:row>78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4944725"/>
          <a:ext cx="3238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77</xdr:row>
      <xdr:rowOff>0</xdr:rowOff>
    </xdr:from>
    <xdr:to>
      <xdr:col>7</xdr:col>
      <xdr:colOff>133350</xdr:colOff>
      <xdr:row>77</xdr:row>
      <xdr:rowOff>171450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4944725"/>
          <a:ext cx="1333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447676</xdr:colOff>
      <xdr:row>77</xdr:row>
      <xdr:rowOff>38100</xdr:rowOff>
    </xdr:from>
    <xdr:to>
      <xdr:col>8</xdr:col>
      <xdr:colOff>38101</xdr:colOff>
      <xdr:row>78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6" y="14982825"/>
          <a:ext cx="4286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419100</xdr:colOff>
      <xdr:row>171</xdr:row>
      <xdr:rowOff>57150</xdr:rowOff>
    </xdr:from>
    <xdr:to>
      <xdr:col>0</xdr:col>
      <xdr:colOff>1819275</xdr:colOff>
      <xdr:row>172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3556575"/>
          <a:ext cx="14001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0</xdr:rowOff>
    </xdr:from>
    <xdr:to>
      <xdr:col>2</xdr:col>
      <xdr:colOff>676275</xdr:colOff>
      <xdr:row>24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944725"/>
          <a:ext cx="676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323850</xdr:colOff>
      <xdr:row>24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4944725"/>
          <a:ext cx="3238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23</xdr:row>
      <xdr:rowOff>0</xdr:rowOff>
    </xdr:from>
    <xdr:to>
      <xdr:col>7</xdr:col>
      <xdr:colOff>133350</xdr:colOff>
      <xdr:row>23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4944725"/>
          <a:ext cx="1333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447676</xdr:colOff>
      <xdr:row>23</xdr:row>
      <xdr:rowOff>38100</xdr:rowOff>
    </xdr:from>
    <xdr:to>
      <xdr:col>8</xdr:col>
      <xdr:colOff>38101</xdr:colOff>
      <xdr:row>24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6" y="14982825"/>
          <a:ext cx="4286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143</xdr:row>
      <xdr:rowOff>0</xdr:rowOff>
    </xdr:from>
    <xdr:to>
      <xdr:col>2</xdr:col>
      <xdr:colOff>676275</xdr:colOff>
      <xdr:row>144</xdr:row>
      <xdr:rowOff>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944725"/>
          <a:ext cx="676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323850</xdr:colOff>
      <xdr:row>144</xdr:row>
      <xdr:rowOff>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4944725"/>
          <a:ext cx="3238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143</xdr:row>
      <xdr:rowOff>0</xdr:rowOff>
    </xdr:from>
    <xdr:to>
      <xdr:col>7</xdr:col>
      <xdr:colOff>133350</xdr:colOff>
      <xdr:row>143</xdr:row>
      <xdr:rowOff>171450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4944725"/>
          <a:ext cx="1333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447676</xdr:colOff>
      <xdr:row>143</xdr:row>
      <xdr:rowOff>38100</xdr:rowOff>
    </xdr:from>
    <xdr:to>
      <xdr:col>8</xdr:col>
      <xdr:colOff>38101</xdr:colOff>
      <xdr:row>144</xdr:row>
      <xdr:rowOff>171450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6" y="14982825"/>
          <a:ext cx="4286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1016000</xdr:colOff>
      <xdr:row>7</xdr:row>
      <xdr:rowOff>165100</xdr:rowOff>
    </xdr:from>
    <xdr:to>
      <xdr:col>0</xdr:col>
      <xdr:colOff>1365250</xdr:colOff>
      <xdr:row>8</xdr:row>
      <xdr:rowOff>171450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1708150"/>
          <a:ext cx="349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730250</xdr:colOff>
      <xdr:row>17</xdr:row>
      <xdr:rowOff>19050</xdr:rowOff>
    </xdr:from>
    <xdr:to>
      <xdr:col>0</xdr:col>
      <xdr:colOff>1098550</xdr:colOff>
      <xdr:row>18</xdr:row>
      <xdr:rowOff>25400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50" y="3435350"/>
          <a:ext cx="368300" cy="19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622300</xdr:colOff>
      <xdr:row>15</xdr:row>
      <xdr:rowOff>19050</xdr:rowOff>
    </xdr:from>
    <xdr:to>
      <xdr:col>0</xdr:col>
      <xdr:colOff>1250950</xdr:colOff>
      <xdr:row>15</xdr:row>
      <xdr:rowOff>184150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3054350"/>
          <a:ext cx="62865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1009650</xdr:colOff>
      <xdr:row>19</xdr:row>
      <xdr:rowOff>12700</xdr:rowOff>
    </xdr:from>
    <xdr:to>
      <xdr:col>0</xdr:col>
      <xdr:colOff>1371600</xdr:colOff>
      <xdr:row>20</xdr:row>
      <xdr:rowOff>25400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803650"/>
          <a:ext cx="361950" cy="19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685768</xdr:colOff>
      <xdr:row>237</xdr:row>
      <xdr:rowOff>49688</xdr:rowOff>
    </xdr:from>
    <xdr:ext cx="1790732" cy="1287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1000-000007000000}"/>
                </a:ext>
              </a:extLst>
            </xdr:cNvPr>
            <xdr:cNvSpPr txBox="1"/>
          </xdr:nvSpPr>
          <xdr:spPr>
            <a:xfrm>
              <a:off x="685768" y="45026738"/>
              <a:ext cx="1790732" cy="1287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s-CO" sz="8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800" b="0" i="1">
                          <a:latin typeface="Cambria Math" panose="02040503050406030204" pitchFamily="18" charset="0"/>
                        </a:rPr>
                        <m:t>𝐶𝐼</m:t>
                      </m:r>
                    </m:e>
                    <m:sub>
                      <m:r>
                        <a:rPr lang="es-CO" sz="800" b="0" i="1">
                          <a:latin typeface="Cambria Math" panose="02040503050406030204" pitchFamily="18" charset="0"/>
                        </a:rPr>
                        <m:t>𝐴𝐶𝑃</m:t>
                      </m:r>
                      <m:r>
                        <a:rPr lang="es-CO" sz="800" b="0" i="1">
                          <a:latin typeface="Cambria Math" panose="02040503050406030204" pitchFamily="18" charset="0"/>
                        </a:rPr>
                        <m:t>,</m:t>
                      </m:r>
                      <m:r>
                        <a:rPr lang="es-CO" sz="800" b="0" i="1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  <m:r>
                    <a:rPr lang="es-CO" sz="800" b="0" i="1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es-CO" sz="8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800" b="0" i="1">
                          <a:latin typeface="Cambria Math" panose="02040503050406030204" pitchFamily="18" charset="0"/>
                        </a:rPr>
                        <m:t>𝑑</m:t>
                      </m:r>
                    </m:e>
                    <m:sub>
                      <m:r>
                        <a:rPr lang="es-CO" sz="800" b="0" i="1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  <m:r>
                    <a:rPr lang="es-CO" sz="800" b="0" i="1">
                      <a:latin typeface="Cambria Math" panose="02040503050406030204" pitchFamily="18" charset="0"/>
                    </a:rPr>
                    <m:t>+(</m:t>
                  </m:r>
                  <m:r>
                    <a:rPr lang="es-CO" sz="800" b="0" i="1">
                      <a:latin typeface="Cambria Math" panose="02040503050406030204" pitchFamily="18" charset="0"/>
                    </a:rPr>
                    <m:t>𝑟</m:t>
                  </m:r>
                  <m:r>
                    <a:rPr lang="es-CO" sz="800" b="0" i="1">
                      <a:latin typeface="Cambria Math" panose="02040503050406030204" pitchFamily="18" charset="0"/>
                    </a:rPr>
                    <m:t>∗</m:t>
                  </m:r>
                  <m:sSub>
                    <m:sSubPr>
                      <m:ctrlPr>
                        <a:rPr lang="es-CO" sz="8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800" b="0" i="1">
                          <a:latin typeface="Cambria Math" panose="02040503050406030204" pitchFamily="18" charset="0"/>
                        </a:rPr>
                        <m:t>𝐵𝐶𝑅</m:t>
                      </m:r>
                    </m:e>
                    <m:sub>
                      <m:r>
                        <a:rPr lang="es-CO" sz="800" b="0" i="1">
                          <a:latin typeface="Cambria Math" panose="02040503050406030204" pitchFamily="18" charset="0"/>
                        </a:rPr>
                        <m:t>𝐴𝐶𝑃</m:t>
                      </m:r>
                      <m:r>
                        <a:rPr lang="es-CO" sz="800" b="0" i="1">
                          <a:latin typeface="Cambria Math" panose="02040503050406030204" pitchFamily="18" charset="0"/>
                        </a:rPr>
                        <m:t>,</m:t>
                      </m:r>
                      <m:r>
                        <a:rPr lang="es-CO" sz="800" b="0" i="1">
                          <a:latin typeface="Cambria Math" panose="02040503050406030204" pitchFamily="18" charset="0"/>
                        </a:rPr>
                        <m:t>𝑖</m:t>
                      </m:r>
                      <m:r>
                        <a:rPr lang="es-CO" sz="800" b="0" i="1">
                          <a:latin typeface="Cambria Math" panose="02040503050406030204" pitchFamily="18" charset="0"/>
                        </a:rPr>
                        <m:t>−1,</m:t>
                      </m:r>
                      <m:r>
                        <a:rPr lang="es-CO" sz="800" b="0" i="1">
                          <a:latin typeface="Cambria Math" panose="02040503050406030204" pitchFamily="18" charset="0"/>
                        </a:rPr>
                        <m:t>𝑎𝑐</m:t>
                      </m:r>
                      <m:r>
                        <a:rPr lang="es-CO" sz="800" b="0" i="1">
                          <a:latin typeface="Cambria Math" panose="02040503050406030204" pitchFamily="18" charset="0"/>
                        </a:rPr>
                        <m:t>,</m:t>
                      </m:r>
                      <m:r>
                        <a:rPr lang="es-CO" sz="800" b="0" i="1">
                          <a:latin typeface="Cambria Math" panose="02040503050406030204" pitchFamily="18" charset="0"/>
                        </a:rPr>
                        <m:t>𝑎𝑙</m:t>
                      </m:r>
                    </m:sub>
                  </m:sSub>
                </m:oMath>
              </a14:m>
              <a:r>
                <a:rPr lang="es-CO" sz="800"/>
                <a:t>)</a:t>
              </a:r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66B59747-CAC0-4D2D-B4A2-46E7A43AFD7F}"/>
                </a:ext>
              </a:extLst>
            </xdr:cNvPr>
            <xdr:cNvSpPr txBox="1"/>
          </xdr:nvSpPr>
          <xdr:spPr>
            <a:xfrm>
              <a:off x="685768" y="45026738"/>
              <a:ext cx="1790732" cy="1287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800" i="0">
                  <a:latin typeface="Cambria Math" panose="02040503050406030204" pitchFamily="18" charset="0"/>
                </a:rPr>
                <a:t>〖</a:t>
              </a:r>
              <a:r>
                <a:rPr lang="es-CO" sz="800" b="0" i="0">
                  <a:latin typeface="Cambria Math" panose="02040503050406030204" pitchFamily="18" charset="0"/>
                </a:rPr>
                <a:t>𝐶𝐼〗_(𝐴𝐶𝑃,𝑖)=𝑑_𝑖+(𝑟∗〖𝐵𝐶𝑅〗_(𝐴𝐶𝑃,𝑖−1,𝑎𝑐,𝑎𝑙)</a:t>
              </a:r>
              <a:r>
                <a:rPr lang="es-CO" sz="800"/>
                <a:t>)</a:t>
              </a:r>
            </a:p>
          </xdr:txBody>
        </xdr:sp>
      </mc:Fallback>
    </mc:AlternateContent>
    <xdr:clientData/>
  </xdr:oneCellAnchor>
  <xdr:twoCellAnchor>
    <xdr:from>
      <xdr:col>0</xdr:col>
      <xdr:colOff>965200</xdr:colOff>
      <xdr:row>88</xdr:row>
      <xdr:rowOff>19050</xdr:rowOff>
    </xdr:from>
    <xdr:to>
      <xdr:col>0</xdr:col>
      <xdr:colOff>1397000</xdr:colOff>
      <xdr:row>89</xdr:row>
      <xdr:rowOff>0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16897350"/>
          <a:ext cx="4318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1079500</xdr:colOff>
      <xdr:row>84</xdr:row>
      <xdr:rowOff>6350</xdr:rowOff>
    </xdr:from>
    <xdr:to>
      <xdr:col>0</xdr:col>
      <xdr:colOff>1511300</xdr:colOff>
      <xdr:row>84</xdr:row>
      <xdr:rowOff>177800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" y="16135350"/>
          <a:ext cx="4318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1098550</xdr:colOff>
      <xdr:row>83</xdr:row>
      <xdr:rowOff>6350</xdr:rowOff>
    </xdr:from>
    <xdr:to>
      <xdr:col>0</xdr:col>
      <xdr:colOff>1447800</xdr:colOff>
      <xdr:row>83</xdr:row>
      <xdr:rowOff>177800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15944850"/>
          <a:ext cx="3492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1085850</xdr:colOff>
      <xdr:row>82</xdr:row>
      <xdr:rowOff>0</xdr:rowOff>
    </xdr:from>
    <xdr:to>
      <xdr:col>0</xdr:col>
      <xdr:colOff>1435100</xdr:colOff>
      <xdr:row>82</xdr:row>
      <xdr:rowOff>171450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5748000"/>
          <a:ext cx="3492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1079500</xdr:colOff>
      <xdr:row>78</xdr:row>
      <xdr:rowOff>6350</xdr:rowOff>
    </xdr:from>
    <xdr:to>
      <xdr:col>0</xdr:col>
      <xdr:colOff>1428750</xdr:colOff>
      <xdr:row>78</xdr:row>
      <xdr:rowOff>177800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" y="15005050"/>
          <a:ext cx="3492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723900</xdr:colOff>
      <xdr:row>80</xdr:row>
      <xdr:rowOff>19050</xdr:rowOff>
    </xdr:from>
    <xdr:to>
      <xdr:col>0</xdr:col>
      <xdr:colOff>1155700</xdr:colOff>
      <xdr:row>81</xdr:row>
      <xdr:rowOff>6350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5392400"/>
          <a:ext cx="4318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781050</xdr:colOff>
      <xdr:row>73</xdr:row>
      <xdr:rowOff>0</xdr:rowOff>
    </xdr:from>
    <xdr:to>
      <xdr:col>0</xdr:col>
      <xdr:colOff>1130300</xdr:colOff>
      <xdr:row>73</xdr:row>
      <xdr:rowOff>171450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4052550"/>
          <a:ext cx="3492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1485900</xdr:colOff>
      <xdr:row>19</xdr:row>
      <xdr:rowOff>25400</xdr:rowOff>
    </xdr:from>
    <xdr:to>
      <xdr:col>2</xdr:col>
      <xdr:colOff>336550</xdr:colOff>
      <xdr:row>20</xdr:row>
      <xdr:rowOff>0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9700" y="3816350"/>
          <a:ext cx="635000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635000</xdr:colOff>
      <xdr:row>58</xdr:row>
      <xdr:rowOff>158750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37900"/>
          <a:ext cx="635000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850900</xdr:colOff>
      <xdr:row>63</xdr:row>
      <xdr:rowOff>57150</xdr:rowOff>
    </xdr:from>
    <xdr:ext cx="1619250" cy="1126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id="{00000000-0008-0000-1000-00001D000000}"/>
                </a:ext>
              </a:extLst>
            </xdr:cNvPr>
            <xdr:cNvSpPr txBox="1"/>
          </xdr:nvSpPr>
          <xdr:spPr>
            <a:xfrm>
              <a:off x="850900" y="12172950"/>
              <a:ext cx="1619250" cy="1126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s-CO" sz="7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700" b="0" i="1">
                          <a:latin typeface="Cambria Math" panose="02040503050406030204" pitchFamily="18" charset="0"/>
                        </a:rPr>
                        <m:t>𝐶𝐼</m:t>
                      </m:r>
                      <m:r>
                        <a:rPr lang="es-CO" sz="700" b="0" i="1">
                          <a:latin typeface="Cambria Math" panose="02040503050406030204" pitchFamily="18" charset="0"/>
                        </a:rPr>
                        <m:t>_</m:t>
                      </m:r>
                      <m:r>
                        <a:rPr lang="es-CO" sz="700" b="0" i="1">
                          <a:latin typeface="Cambria Math" panose="02040503050406030204" pitchFamily="18" charset="0"/>
                        </a:rPr>
                        <m:t>𝑃𝑂𝐼𝑅</m:t>
                      </m:r>
                    </m:e>
                    <m:sub>
                      <m:r>
                        <a:rPr lang="es-CO" sz="700" b="0" i="1">
                          <a:latin typeface="Cambria Math" panose="02040503050406030204" pitchFamily="18" charset="0"/>
                        </a:rPr>
                        <m:t>𝑎𝑐</m:t>
                      </m:r>
                    </m:sub>
                  </m:sSub>
                  <m:r>
                    <a:rPr lang="es-CO" sz="700" b="0" i="1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es-CO" sz="7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700" b="0" i="1">
                          <a:latin typeface="Cambria Math" panose="02040503050406030204" pitchFamily="18" charset="0"/>
                        </a:rPr>
                        <m:t>𝑑</m:t>
                      </m:r>
                    </m:e>
                    <m:sub>
                      <m:r>
                        <a:rPr lang="es-CO" sz="700" b="0" i="1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  <m:r>
                    <a:rPr lang="es-CO" sz="700" b="0" i="1">
                      <a:latin typeface="Cambria Math" panose="02040503050406030204" pitchFamily="18" charset="0"/>
                    </a:rPr>
                    <m:t>+(</m:t>
                  </m:r>
                  <m:r>
                    <a:rPr lang="es-CO" sz="700" b="0" i="1">
                      <a:latin typeface="Cambria Math" panose="02040503050406030204" pitchFamily="18" charset="0"/>
                    </a:rPr>
                    <m:t>𝑟</m:t>
                  </m:r>
                  <m:r>
                    <a:rPr lang="es-CO" sz="700" b="0" i="1">
                      <a:latin typeface="Cambria Math" panose="02040503050406030204" pitchFamily="18" charset="0"/>
                    </a:rPr>
                    <m:t>∗</m:t>
                  </m:r>
                  <m:sSub>
                    <m:sSubPr>
                      <m:ctrlPr>
                        <a:rPr lang="es-CO" sz="7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700" b="0" i="1">
                          <a:latin typeface="Cambria Math" panose="02040503050406030204" pitchFamily="18" charset="0"/>
                        </a:rPr>
                        <m:t>𝐵𝐶𝑅</m:t>
                      </m:r>
                    </m:e>
                    <m:sub>
                      <m:r>
                        <a:rPr lang="es-CO" sz="700" b="0" i="1">
                          <a:latin typeface="Cambria Math" panose="02040503050406030204" pitchFamily="18" charset="0"/>
                        </a:rPr>
                        <m:t>𝑖</m:t>
                      </m:r>
                      <m:r>
                        <a:rPr lang="es-CO" sz="700" b="0" i="1">
                          <a:latin typeface="Cambria Math" panose="02040503050406030204" pitchFamily="18" charset="0"/>
                        </a:rPr>
                        <m:t>−1,</m:t>
                      </m:r>
                      <m:r>
                        <a:rPr lang="es-CO" sz="700" b="0" i="1">
                          <a:latin typeface="Cambria Math" panose="02040503050406030204" pitchFamily="18" charset="0"/>
                        </a:rPr>
                        <m:t>𝑎𝑐</m:t>
                      </m:r>
                      <m:r>
                        <a:rPr lang="es-CO" sz="700" b="0" i="1">
                          <a:latin typeface="Cambria Math" panose="02040503050406030204" pitchFamily="18" charset="0"/>
                        </a:rPr>
                        <m:t>,</m:t>
                      </m:r>
                      <m:r>
                        <a:rPr lang="es-CO" sz="700" b="0" i="1">
                          <a:latin typeface="Cambria Math" panose="02040503050406030204" pitchFamily="18" charset="0"/>
                        </a:rPr>
                        <m:t>𝑎𝑙</m:t>
                      </m:r>
                    </m:sub>
                  </m:sSub>
                </m:oMath>
              </a14:m>
              <a:r>
                <a:rPr lang="es-CO" sz="700"/>
                <a:t>)</a:t>
              </a:r>
            </a:p>
          </xdr:txBody>
        </xdr:sp>
      </mc:Choice>
      <mc:Fallback xmlns="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id="{600C7A19-B60E-412B-8451-55F0861A03C2}"/>
                </a:ext>
              </a:extLst>
            </xdr:cNvPr>
            <xdr:cNvSpPr txBox="1"/>
          </xdr:nvSpPr>
          <xdr:spPr>
            <a:xfrm>
              <a:off x="850900" y="12172950"/>
              <a:ext cx="1619250" cy="1126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700" i="0">
                  <a:latin typeface="Cambria Math" panose="02040503050406030204" pitchFamily="18" charset="0"/>
                </a:rPr>
                <a:t>〖</a:t>
              </a:r>
              <a:r>
                <a:rPr lang="es-CO" sz="700" b="0" i="0">
                  <a:latin typeface="Cambria Math" panose="02040503050406030204" pitchFamily="18" charset="0"/>
                </a:rPr>
                <a:t>𝐶𝐼_𝑃𝑂𝐼𝑅〗_𝑎𝑐=𝑑_𝑖+(𝑟∗〖𝐵𝐶𝑅〗_(𝑖−1,𝑎𝑐,𝑎𝑙)</a:t>
              </a:r>
              <a:r>
                <a:rPr lang="es-CO" sz="700"/>
                <a:t>)</a:t>
              </a:r>
            </a:p>
          </xdr:txBody>
        </xdr:sp>
      </mc:Fallback>
    </mc:AlternateContent>
    <xdr:clientData/>
  </xdr:oneCellAnchor>
  <xdr:twoCellAnchor>
    <xdr:from>
      <xdr:col>3</xdr:col>
      <xdr:colOff>698500</xdr:colOff>
      <xdr:row>0</xdr:row>
      <xdr:rowOff>31750</xdr:rowOff>
    </xdr:from>
    <xdr:to>
      <xdr:col>4</xdr:col>
      <xdr:colOff>488950</xdr:colOff>
      <xdr:row>0</xdr:row>
      <xdr:rowOff>245070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31750"/>
          <a:ext cx="819150" cy="213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NAS\publico$\$Datos_SVARGAS\MIS%20DOCUMENTOS\Carolina\Aseo\Modelo\Modelo%20cro%20FINAL!!!!!!!!!!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VRNAS\publico$\Documents%20and%20Settings\purriago\Configuraci&#243;n%20local\Archivos%20temporales%20de%20Internet\OLK25\TESIS%20BETTY%20Y%20CRO\DESARROLLO%20DE%20PRODUCTOS\PRODUCTO%203,%20Estructuras%20Tarifarias\MODELOS%20CARLOS\ejercicio%20calculo%20modelo.xls?A55355EF" TargetMode="External"/><Relationship Id="rId1" Type="http://schemas.openxmlformats.org/officeDocument/2006/relationships/externalLinkPath" Target="file:///\\A55355EF\ejercicio%20calculo%20model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NAS\publico$\Users\user\Documents\Eduardo\servicios%20publicos\Cra\Contrato%20049%20de%202014\Taller%20Capacitacion%20Subdireccion\Modelo%20NMTAA-10-06-2014%20esc%20VPQ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Costos de Referencia"/>
      <sheetName val="Indices"/>
      <sheetName val="Actualización Costos"/>
      <sheetName val="TDI "/>
      <sheetName val="Tarifa"/>
      <sheetName val="Recaudo mes"/>
    </sheetNames>
    <sheetDataSet>
      <sheetData sheetId="0">
        <row r="146">
          <cell r="E146">
            <v>19.600000000000001</v>
          </cell>
          <cell r="G146">
            <v>1781</v>
          </cell>
        </row>
      </sheetData>
      <sheetData sheetId="1">
        <row r="7">
          <cell r="C7">
            <v>1781</v>
          </cell>
        </row>
        <row r="9">
          <cell r="C9">
            <v>356.02929999999998</v>
          </cell>
        </row>
        <row r="11">
          <cell r="C11">
            <v>500</v>
          </cell>
        </row>
        <row r="13">
          <cell r="C13">
            <v>8100</v>
          </cell>
        </row>
        <row r="15">
          <cell r="C15">
            <v>158.94177414373948</v>
          </cell>
        </row>
        <row r="22">
          <cell r="C22">
            <v>27200</v>
          </cell>
        </row>
        <row r="23">
          <cell r="C23">
            <v>0</v>
          </cell>
        </row>
        <row r="25">
          <cell r="C25">
            <v>5550.0000000000009</v>
          </cell>
        </row>
        <row r="26">
          <cell r="C26">
            <v>500</v>
          </cell>
        </row>
        <row r="27">
          <cell r="C27">
            <v>5550.0000000000009</v>
          </cell>
        </row>
        <row r="28">
          <cell r="C28">
            <v>31.1</v>
          </cell>
        </row>
        <row r="29">
          <cell r="C29">
            <v>0</v>
          </cell>
        </row>
        <row r="31">
          <cell r="C31">
            <v>26566</v>
          </cell>
        </row>
        <row r="40">
          <cell r="C40">
            <v>1</v>
          </cell>
        </row>
        <row r="41">
          <cell r="C41">
            <v>0</v>
          </cell>
        </row>
        <row r="44">
          <cell r="C44">
            <v>4448.7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ÑO BASE"/>
      <sheetName val="COSTOS AJUSTADOS"/>
      <sheetName val="CTE"/>
      <sheetName val="CDT"/>
      <sheetName val="ACTUALIZACIÓN DE COSTOS"/>
      <sheetName val="Minimización"/>
      <sheetName val="TDi"/>
      <sheetName val="TARIFAS"/>
      <sheetName val="Ingresos"/>
      <sheetName val="Variables"/>
    </sheetNames>
    <sheetDataSet>
      <sheetData sheetId="0"/>
      <sheetData sheetId="1"/>
      <sheetData sheetId="2">
        <row r="13">
          <cell r="C13">
            <v>63280</v>
          </cell>
        </row>
      </sheetData>
      <sheetData sheetId="3">
        <row r="5">
          <cell r="C5">
            <v>0</v>
          </cell>
        </row>
      </sheetData>
      <sheetData sheetId="4">
        <row r="3">
          <cell r="C3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_Empresas"/>
      <sheetName val="Datos_Historicos"/>
      <sheetName val="ICU"/>
      <sheetName val="WACC"/>
      <sheetName val="Icuf-Ipuf"/>
      <sheetName val="Hoja3"/>
      <sheetName val="Modelo"/>
      <sheetName val="Impactos_Seg1"/>
      <sheetName val="Impactos_Seg2"/>
      <sheetName val="Tarifas"/>
      <sheetName val="Tablero"/>
      <sheetName val="BD_Impactos"/>
      <sheetName val="Hoja1"/>
      <sheetName val="Graficos-Diagnostico"/>
      <sheetName val="CMI"/>
      <sheetName val="IncrComparables"/>
      <sheetName val="Datos_CAYCO"/>
      <sheetName val="Movet CA CO"/>
      <sheetName val="Activos"/>
      <sheetName val="DANE_Censo2005"/>
      <sheetName val="Datos_Cial"/>
      <sheetName val="Datos_Tarifas"/>
      <sheetName val="IndicesNal"/>
      <sheetName val="Datos_Puc_GTO"/>
      <sheetName val="Hoja1 (2)"/>
      <sheetName val="Subsidios 2011"/>
      <sheetName val="subsidios 2012"/>
      <sheetName val="Datos_Puc_Bce"/>
      <sheetName val="Datos_Puc_ER"/>
      <sheetName val="VIVIENDAS_Proy"/>
      <sheetName val="PIB_Proy"/>
      <sheetName val="Cartera"/>
      <sheetName val="Encuesta_Servicio"/>
      <sheetName val="Gastos Viviendas"/>
      <sheetName val="ca y ca 287 (2002-2003"/>
      <sheetName val="CA Y CO 287"/>
      <sheetName val="Datos PDF 2012"/>
      <sheetName val="Cuadro 4.3"/>
      <sheetName val="Cuadro 4.26"/>
      <sheetName val="Hoja2"/>
    </sheetNames>
    <sheetDataSet>
      <sheetData sheetId="0">
        <row r="2">
          <cell r="B2" t="str">
            <v>ACUASAN E.I.C.E  E.S.P (SAN GIL)</v>
          </cell>
        </row>
        <row r="3">
          <cell r="B3" t="str">
            <v>ACUAVIVA S.A. E.S.P. (PALMIRA)</v>
          </cell>
        </row>
        <row r="4">
          <cell r="B4" t="str">
            <v xml:space="preserve">VIRTUAL DE BUCARAMANGA </v>
          </cell>
        </row>
        <row r="5">
          <cell r="B5" t="str">
            <v>ACUEDUCTO Y ALCANTARILLADO DE POPAYAN S.A.  E.S.P</v>
          </cell>
        </row>
        <row r="6">
          <cell r="B6" t="str">
            <v>ACUEDUCTOS Y ALCANTARILLADOS SOSTENIBLES A.A.S. S.A.  E.S.P.</v>
          </cell>
        </row>
        <row r="7">
          <cell r="B7" t="str">
            <v>AGUAS DE BUGA S.A. E.S.P.</v>
          </cell>
        </row>
        <row r="8">
          <cell r="B8" t="str">
            <v>AGUAS DE CARTAGENA S.A.  E.S.P.</v>
          </cell>
        </row>
        <row r="9">
          <cell r="B9" t="str">
            <v>AGUAS DE LA SABANA S.A. E.S.P. (SINCELEJO)</v>
          </cell>
        </row>
        <row r="10">
          <cell r="B10" t="str">
            <v>AGUAS DE MANIZALES S.A  E.S.P</v>
          </cell>
        </row>
        <row r="11">
          <cell r="B11" t="str">
            <v>AGUAS DE RIONEGRO S.A.  E.S.P.</v>
          </cell>
        </row>
        <row r="12">
          <cell r="B12" t="str">
            <v>AGUAS KPITAL CÚCUTA S.A. E.S.P.</v>
          </cell>
        </row>
        <row r="13">
          <cell r="B13" t="str">
            <v>AGUASCOL ARBELAEZ S.A. E.S.P.</v>
          </cell>
        </row>
        <row r="14">
          <cell r="B14" t="str">
            <v>CENTROAGUAS S.A E.S.P (TULUA)</v>
          </cell>
        </row>
        <row r="15">
          <cell r="B15" t="str">
            <v>COMPAÑIA DEL ACUEDUCTO Y ALCANTARILLADO METROPOLITANO DE SANTA MARTA S.A. ESP</v>
          </cell>
        </row>
        <row r="16">
          <cell r="B16" t="str">
            <v>EMPRESA DE ACUEDUCTO ALCANTARILLADO Y ASEO DE ZIPAQUIRA E.S.P.</v>
          </cell>
        </row>
        <row r="17">
          <cell r="B17" t="str">
            <v>EMPRESA DE ACUEDUCTO Y ALCANTARILLADO DE BOGOTÁ E.S.P</v>
          </cell>
        </row>
        <row r="18">
          <cell r="B18" t="str">
            <v>EMPRESA DE ACUEDUCTO Y ALCANTARILLADO DE PEREIRA S.A. E.S.P.</v>
          </cell>
        </row>
        <row r="19">
          <cell r="B19" t="str">
            <v>EMPRESA DE ACUEDUCTO, ALCANTARILLADO Y ASEO DEL ESPINAL E.S.P.</v>
          </cell>
        </row>
        <row r="20">
          <cell r="B20" t="str">
            <v>EMPRESA DE AGUAS DE GIRARDOT, RICAURTE Y LA REGION S.A.  E.S.P.</v>
          </cell>
        </row>
        <row r="21">
          <cell r="B21" t="str">
            <v>EMPRESA DE OBRAS SANITARIAS DE CALDAS  S. A. EMPRESA DE SERVICIOS PUBLICOS</v>
          </cell>
        </row>
        <row r="22">
          <cell r="B22" t="str">
            <v>EMPRESA DE OBRAS SANITARIAS DE PASTO EMPOPASTO S.A. E.S.P.</v>
          </cell>
        </row>
        <row r="23">
          <cell r="B23" t="str">
            <v>EMPRESA DE OBRAS SANITARIAS DE SANTA ROSA DE CABAL EMPOCABAL</v>
          </cell>
        </row>
        <row r="24">
          <cell r="B24" t="str">
            <v>EMPRESA DE SERVICIOS PUBLICOS DE FUSAGASUGA E.S.P</v>
          </cell>
        </row>
        <row r="25">
          <cell r="B25" t="str">
            <v>EMPRESA DE SERVICIOS PUBLICOS DE OCAÑA S.A.  E.S.P.</v>
          </cell>
        </row>
        <row r="26">
          <cell r="B26" t="str">
            <v>EMPRESA DE SERVICIOS PUBLICOS DE PAMPLONA S.A. E.S.P.</v>
          </cell>
        </row>
        <row r="27">
          <cell r="B27" t="str">
            <v>EMPRESA DE SERVICIOS PÚBLICOS DE VALLEDUPAR S.A. EMDUPAR S.A. E.S.P.</v>
          </cell>
        </row>
        <row r="28">
          <cell r="B28" t="str">
            <v>EMPRESA DE SERVICIOS PUBLICOS DOMICILIARIOS DE DUITAMA S.A. E.S.P.</v>
          </cell>
        </row>
        <row r="29">
          <cell r="B29" t="str">
            <v>EMPRESA IBAGUEREÑA DE ACUEDUCTO Y ALCANTARILLADO S.A E.S.P OFICIAL</v>
          </cell>
        </row>
        <row r="30">
          <cell r="B30" t="str">
            <v>EMPRESA MULTIPROPOSITO DE CALARCA S.A. E.S.P.</v>
          </cell>
        </row>
        <row r="31">
          <cell r="B31" t="str">
            <v>EMPRESAS MUNICIPALES DE CALI E.I.C.E E.S.P</v>
          </cell>
        </row>
        <row r="32">
          <cell r="B32" t="str">
            <v>EMPRESAS MUNICIPALES DE CARTAGO E.S.P.</v>
          </cell>
        </row>
        <row r="33">
          <cell r="B33" t="str">
            <v>EMPRESAS MUNICIPALES DE SANTANDER DE QUILICHAO E.S.P.</v>
          </cell>
        </row>
        <row r="34">
          <cell r="B34" t="str">
            <v>EMPRESAS PUBLICAS DE ARMENIA</v>
          </cell>
        </row>
        <row r="35">
          <cell r="B35" t="str">
            <v>EMPRESAS PÚBLICAS DE LA CEJA E.S.P.</v>
          </cell>
        </row>
        <row r="36">
          <cell r="B36" t="str">
            <v>EMPRESAS PÚBLICAS DE MEDELLIN E.S.P.</v>
          </cell>
        </row>
        <row r="37">
          <cell r="B37" t="str">
            <v>EMPRESAS PÚBLICAS DE NEIVA E.S.P.</v>
          </cell>
        </row>
        <row r="38">
          <cell r="B38" t="str">
            <v>HYDROS CHIA S EN C.A.  E.S.P</v>
          </cell>
        </row>
        <row r="39">
          <cell r="B39" t="str">
            <v>HYDROS MOSQUERA S. EN C.A. E.S.P.</v>
          </cell>
        </row>
        <row r="40">
          <cell r="B40" t="str">
            <v>INGENIERIA TOTAL SERVICIOS PUBLICOS S.A. E.S.P</v>
          </cell>
        </row>
        <row r="41">
          <cell r="B41" t="str">
            <v>OPERADORES DE SERVICIOS S.A.  E.S.P.</v>
          </cell>
        </row>
        <row r="42">
          <cell r="B42" t="str">
            <v>PROACTIVA AGUA DE MONTERÍA S.A. E.S.P.</v>
          </cell>
        </row>
        <row r="43">
          <cell r="B43" t="str">
            <v>PROACTIVA AGUAS DE TUNJA S.A. E.S.P.</v>
          </cell>
        </row>
        <row r="44">
          <cell r="B44" t="str">
            <v>SOCIEDAD DE ACUEDUCTO, ALCANTARILLADO Y ASEO DE BARRANQUILLA S.A. E.S.P.</v>
          </cell>
        </row>
        <row r="45">
          <cell r="B45" t="str">
            <v>SOCIEDAD DE ACUEDUCTOS Y ALCANTARILLADOS DEL VALLE DEL CAUCA S.A.  E.S.P.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2005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:C17"/>
  <sheetViews>
    <sheetView workbookViewId="0">
      <selection activeCell="A4" sqref="A4:B4"/>
    </sheetView>
  </sheetViews>
  <sheetFormatPr baseColWidth="10" defaultRowHeight="15"/>
  <cols>
    <col min="1" max="1" width="13.28515625" customWidth="1"/>
    <col min="2" max="2" width="122.7109375" customWidth="1"/>
  </cols>
  <sheetData>
    <row r="1" spans="1:3" ht="15.75" thickBot="1">
      <c r="A1" s="341"/>
      <c r="B1" s="341"/>
    </row>
    <row r="2" spans="1:3" ht="51.75" customHeight="1" thickBot="1">
      <c r="A2" s="342" t="s">
        <v>432</v>
      </c>
      <c r="B2" s="343"/>
    </row>
    <row r="3" spans="1:3" ht="15.75" thickBot="1">
      <c r="A3" s="340"/>
      <c r="B3" s="289"/>
    </row>
    <row r="4" spans="1:3" ht="18">
      <c r="A4" s="344" t="s">
        <v>358</v>
      </c>
      <c r="B4" s="345"/>
    </row>
    <row r="5" spans="1:3">
      <c r="A5" s="290" t="s">
        <v>359</v>
      </c>
      <c r="B5" s="291" t="s">
        <v>395</v>
      </c>
    </row>
    <row r="6" spans="1:3">
      <c r="A6" s="290" t="s">
        <v>360</v>
      </c>
      <c r="B6" s="291" t="s">
        <v>379</v>
      </c>
    </row>
    <row r="7" spans="1:3">
      <c r="A7" s="290" t="s">
        <v>361</v>
      </c>
      <c r="B7" s="291" t="s">
        <v>380</v>
      </c>
    </row>
    <row r="8" spans="1:3">
      <c r="A8" s="290" t="s">
        <v>362</v>
      </c>
      <c r="B8" s="291" t="s">
        <v>381</v>
      </c>
    </row>
    <row r="9" spans="1:3" ht="33.6" customHeight="1" thickBot="1">
      <c r="A9" s="303" t="s">
        <v>363</v>
      </c>
      <c r="B9" s="302" t="s">
        <v>396</v>
      </c>
    </row>
    <row r="10" spans="1:3" ht="15.75" thickBot="1"/>
    <row r="11" spans="1:3" ht="18">
      <c r="A11" s="348" t="s">
        <v>365</v>
      </c>
      <c r="B11" s="349"/>
    </row>
    <row r="12" spans="1:3">
      <c r="A12" s="293" t="s">
        <v>359</v>
      </c>
      <c r="B12" s="294" t="s">
        <v>408</v>
      </c>
    </row>
    <row r="13" spans="1:3">
      <c r="A13" s="293" t="s">
        <v>360</v>
      </c>
      <c r="B13" s="294" t="s">
        <v>366</v>
      </c>
    </row>
    <row r="14" spans="1:3" ht="15.75" thickBot="1">
      <c r="A14" s="292"/>
      <c r="B14" s="292"/>
      <c r="C14" s="16"/>
    </row>
    <row r="15" spans="1:3" ht="18">
      <c r="A15" s="346" t="s">
        <v>364</v>
      </c>
      <c r="B15" s="347"/>
    </row>
    <row r="16" spans="1:3">
      <c r="A16" s="316">
        <v>1</v>
      </c>
      <c r="B16" s="318" t="s">
        <v>367</v>
      </c>
      <c r="C16" s="315"/>
    </row>
    <row r="17" spans="1:3" ht="15.75" thickBot="1">
      <c r="A17" s="317">
        <v>2</v>
      </c>
      <c r="B17" s="319" t="s">
        <v>407</v>
      </c>
      <c r="C17" s="315"/>
    </row>
  </sheetData>
  <mergeCells count="4">
    <mergeCell ref="A2:B2"/>
    <mergeCell ref="A4:B4"/>
    <mergeCell ref="A15:B15"/>
    <mergeCell ref="A11:B11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/>
  <dimension ref="A1:N28"/>
  <sheetViews>
    <sheetView workbookViewId="0">
      <selection sqref="A1:H1"/>
    </sheetView>
  </sheetViews>
  <sheetFormatPr baseColWidth="10" defaultRowHeight="15"/>
  <cols>
    <col min="1" max="1" width="16.42578125" bestFit="1" customWidth="1"/>
    <col min="2" max="2" width="74.7109375" bestFit="1" customWidth="1"/>
    <col min="3" max="3" width="15.140625" bestFit="1" customWidth="1"/>
    <col min="4" max="4" width="14.140625" bestFit="1" customWidth="1"/>
  </cols>
  <sheetData>
    <row r="1" spans="1:8" ht="21.75" thickBot="1">
      <c r="A1" s="350" t="s">
        <v>284</v>
      </c>
      <c r="B1" s="350"/>
      <c r="C1" s="350"/>
      <c r="D1" s="350"/>
      <c r="E1" s="350"/>
      <c r="F1" s="350"/>
      <c r="G1" s="350"/>
      <c r="H1" s="350"/>
    </row>
    <row r="2" spans="1:8" ht="16.5" thickBot="1">
      <c r="A2" s="360" t="s">
        <v>246</v>
      </c>
      <c r="B2" s="361"/>
      <c r="C2" s="362"/>
    </row>
    <row r="5" spans="1:8">
      <c r="A5" s="145"/>
      <c r="B5" s="145"/>
      <c r="C5" s="154">
        <v>2018</v>
      </c>
    </row>
    <row r="6" spans="1:8">
      <c r="A6" s="145" t="s">
        <v>247</v>
      </c>
      <c r="B6" s="145" t="s">
        <v>248</v>
      </c>
      <c r="C6" s="147">
        <v>262094</v>
      </c>
    </row>
    <row r="7" spans="1:8">
      <c r="A7" s="145" t="s">
        <v>249</v>
      </c>
      <c r="B7" s="145" t="s">
        <v>250</v>
      </c>
      <c r="C7" s="148">
        <v>978</v>
      </c>
    </row>
    <row r="8" spans="1:8">
      <c r="A8" s="145" t="s">
        <v>251</v>
      </c>
      <c r="B8" s="145" t="s">
        <v>252</v>
      </c>
      <c r="C8" s="149">
        <f>C6/(C7*12)</f>
        <v>22.332481254260394</v>
      </c>
    </row>
    <row r="9" spans="1:8">
      <c r="A9" s="145" t="s">
        <v>253</v>
      </c>
      <c r="B9" s="145" t="s">
        <v>254</v>
      </c>
      <c r="C9" s="148">
        <v>2714</v>
      </c>
    </row>
    <row r="10" spans="1:8">
      <c r="A10" s="145" t="s">
        <v>255</v>
      </c>
      <c r="B10" s="145" t="s">
        <v>256</v>
      </c>
      <c r="C10" s="148">
        <v>20</v>
      </c>
    </row>
    <row r="11" spans="1:8">
      <c r="A11" s="145" t="s">
        <v>257</v>
      </c>
      <c r="B11" s="145" t="s">
        <v>258</v>
      </c>
      <c r="C11" s="149">
        <f>C9/(C10*12)</f>
        <v>11.308333333333334</v>
      </c>
    </row>
    <row r="12" spans="1:8">
      <c r="A12" s="145" t="s">
        <v>259</v>
      </c>
      <c r="B12" s="145" t="s">
        <v>260</v>
      </c>
      <c r="C12" s="149">
        <f>C7/(C7+C10)</f>
        <v>0.97995991983967934</v>
      </c>
    </row>
    <row r="13" spans="1:8">
      <c r="A13" s="146" t="s">
        <v>261</v>
      </c>
      <c r="B13" s="146" t="s">
        <v>262</v>
      </c>
      <c r="C13" s="150">
        <f>(C8*C12)+(C11*(1-C12))</f>
        <v>22.111556446225784</v>
      </c>
    </row>
    <row r="14" spans="1:8">
      <c r="A14" s="145"/>
      <c r="B14" s="145"/>
      <c r="C14" s="145"/>
    </row>
    <row r="15" spans="1:8">
      <c r="A15" s="145" t="s">
        <v>67</v>
      </c>
      <c r="B15" s="145" t="s">
        <v>263</v>
      </c>
      <c r="C15" s="148">
        <f>C16+C17-C18</f>
        <v>590046</v>
      </c>
    </row>
    <row r="16" spans="1:8">
      <c r="A16" s="145" t="s">
        <v>57</v>
      </c>
      <c r="B16" s="145" t="s">
        <v>264</v>
      </c>
      <c r="C16" s="148">
        <v>590046</v>
      </c>
    </row>
    <row r="17" spans="1:14">
      <c r="A17" s="145" t="s">
        <v>79</v>
      </c>
      <c r="B17" s="145" t="s">
        <v>265</v>
      </c>
      <c r="C17" s="145">
        <v>0</v>
      </c>
    </row>
    <row r="18" spans="1:14">
      <c r="A18" s="145" t="s">
        <v>266</v>
      </c>
      <c r="B18" s="145" t="s">
        <v>267</v>
      </c>
      <c r="C18" s="145">
        <v>0</v>
      </c>
    </row>
    <row r="19" spans="1:14">
      <c r="A19" s="145" t="s">
        <v>268</v>
      </c>
      <c r="B19" s="145" t="s">
        <v>269</v>
      </c>
      <c r="C19" s="147">
        <f>C6+C9</f>
        <v>264808</v>
      </c>
    </row>
    <row r="20" spans="1:14">
      <c r="A20" s="145" t="s">
        <v>270</v>
      </c>
      <c r="B20" s="145" t="s">
        <v>271</v>
      </c>
      <c r="C20" s="147">
        <f>C7+C10</f>
        <v>998</v>
      </c>
    </row>
    <row r="21" spans="1:14">
      <c r="A21" s="145" t="s">
        <v>272</v>
      </c>
      <c r="B21" s="145" t="s">
        <v>273</v>
      </c>
      <c r="C21" s="149">
        <f>(C15-C19)/(C20*12)</f>
        <v>27.157481629926519</v>
      </c>
    </row>
    <row r="22" spans="1:14" ht="15.75">
      <c r="C22" s="296">
        <v>43435</v>
      </c>
      <c r="D22" s="296">
        <v>43983</v>
      </c>
      <c r="E22" s="297">
        <v>44348</v>
      </c>
      <c r="F22" s="296">
        <v>44713</v>
      </c>
      <c r="G22" s="296">
        <v>45078</v>
      </c>
      <c r="H22" s="296">
        <v>45444</v>
      </c>
      <c r="I22" s="296">
        <v>45809</v>
      </c>
      <c r="J22" s="297">
        <v>46174</v>
      </c>
      <c r="K22" s="296">
        <v>46539</v>
      </c>
      <c r="L22" s="296">
        <v>46905</v>
      </c>
      <c r="M22" s="296">
        <v>47270</v>
      </c>
    </row>
    <row r="23" spans="1:14">
      <c r="A23" s="145"/>
      <c r="B23" s="145"/>
      <c r="C23" s="145">
        <v>0</v>
      </c>
      <c r="D23" s="146">
        <v>1</v>
      </c>
      <c r="E23" s="146">
        <v>2</v>
      </c>
      <c r="F23" s="146">
        <v>3</v>
      </c>
      <c r="G23" s="146">
        <v>4</v>
      </c>
      <c r="H23" s="146">
        <v>5</v>
      </c>
      <c r="I23" s="146">
        <v>6</v>
      </c>
      <c r="J23" s="146">
        <v>7</v>
      </c>
      <c r="K23" s="146">
        <v>8</v>
      </c>
      <c r="L23" s="146">
        <v>9</v>
      </c>
      <c r="M23" s="146">
        <v>10</v>
      </c>
    </row>
    <row r="24" spans="1:14">
      <c r="A24" s="145" t="s">
        <v>274</v>
      </c>
      <c r="B24" s="145" t="s">
        <v>275</v>
      </c>
      <c r="C24" s="149">
        <f>+C13</f>
        <v>22.111556446225784</v>
      </c>
      <c r="D24" s="149">
        <f>C24-0.002</f>
        <v>22.109556446225785</v>
      </c>
      <c r="E24" s="149">
        <f t="shared" ref="E24:M24" si="0">D24-0.002</f>
        <v>22.107556446225786</v>
      </c>
      <c r="F24" s="149">
        <f t="shared" si="0"/>
        <v>22.105556446225787</v>
      </c>
      <c r="G24" s="149">
        <f t="shared" si="0"/>
        <v>22.103556446225788</v>
      </c>
      <c r="H24" s="149">
        <f t="shared" si="0"/>
        <v>22.101556446225789</v>
      </c>
      <c r="I24" s="149">
        <f t="shared" si="0"/>
        <v>22.09955644622579</v>
      </c>
      <c r="J24" s="149">
        <f t="shared" si="0"/>
        <v>22.097556446225791</v>
      </c>
      <c r="K24" s="149">
        <f t="shared" si="0"/>
        <v>22.095556446225793</v>
      </c>
      <c r="L24" s="149">
        <f t="shared" si="0"/>
        <v>22.093556446225794</v>
      </c>
      <c r="M24" s="149">
        <f t="shared" si="0"/>
        <v>22.091556446225795</v>
      </c>
      <c r="N24" s="65"/>
    </row>
    <row r="25" spans="1:14">
      <c r="A25" s="145" t="s">
        <v>276</v>
      </c>
      <c r="B25" s="145" t="s">
        <v>277</v>
      </c>
      <c r="C25" s="149">
        <f>+C21</f>
        <v>27.157481629926519</v>
      </c>
      <c r="D25" s="149">
        <f>AVERAGE(C25,E25)</f>
        <v>21.868111222444888</v>
      </c>
      <c r="E25" s="153">
        <f>C25-((C25-6)*0.5)</f>
        <v>16.578740814963261</v>
      </c>
      <c r="F25" s="149">
        <f t="shared" ref="F25:I25" si="1">E25-0.45</f>
        <v>16.128740814963262</v>
      </c>
      <c r="G25" s="149">
        <f t="shared" si="1"/>
        <v>15.678740814963263</v>
      </c>
      <c r="H25" s="149">
        <f t="shared" si="1"/>
        <v>15.228740814963263</v>
      </c>
      <c r="I25" s="149">
        <f t="shared" si="1"/>
        <v>14.778740814963264</v>
      </c>
      <c r="J25" s="153">
        <f>C25-((C25-6)*0.75)</f>
        <v>11.289370407481631</v>
      </c>
      <c r="K25" s="151">
        <f t="shared" ref="K25:L25" si="2">J25-0.35</f>
        <v>10.939370407481631</v>
      </c>
      <c r="L25" s="151">
        <f t="shared" si="2"/>
        <v>10.589370407481631</v>
      </c>
      <c r="M25" s="151">
        <f>C25-((C25-6)*0.75)</f>
        <v>11.289370407481631</v>
      </c>
    </row>
    <row r="26" spans="1:14">
      <c r="A26" s="145" t="s">
        <v>278</v>
      </c>
      <c r="B26" s="145" t="s">
        <v>279</v>
      </c>
      <c r="C26" s="145"/>
      <c r="D26" s="149">
        <f>D24+D25</f>
        <v>43.977667668670676</v>
      </c>
      <c r="E26" s="149">
        <f t="shared" ref="E26:M26" si="3">E24+E25</f>
        <v>38.686297261189047</v>
      </c>
      <c r="F26" s="149">
        <f t="shared" si="3"/>
        <v>38.234297261189049</v>
      </c>
      <c r="G26" s="149">
        <f t="shared" si="3"/>
        <v>37.782297261189051</v>
      </c>
      <c r="H26" s="149">
        <f t="shared" si="3"/>
        <v>37.330297261189052</v>
      </c>
      <c r="I26" s="149">
        <f t="shared" si="3"/>
        <v>36.878297261189054</v>
      </c>
      <c r="J26" s="149">
        <f t="shared" si="3"/>
        <v>33.386926853707422</v>
      </c>
      <c r="K26" s="149">
        <f t="shared" si="3"/>
        <v>33.034926853707425</v>
      </c>
      <c r="L26" s="149">
        <f t="shared" si="3"/>
        <v>32.682926853707428</v>
      </c>
      <c r="M26" s="149">
        <f t="shared" si="3"/>
        <v>33.380926853707422</v>
      </c>
    </row>
    <row r="27" spans="1:14">
      <c r="A27" s="145" t="s">
        <v>280</v>
      </c>
      <c r="B27" s="156" t="s">
        <v>282</v>
      </c>
      <c r="C27" s="145"/>
      <c r="D27" s="148">
        <f>+'Proy de Suscriptores APS1'!D37</f>
        <v>115471.33</v>
      </c>
      <c r="E27" s="148">
        <f>+'Proy de Suscriptores APS1'!E37</f>
        <v>126449.9025</v>
      </c>
      <c r="F27" s="148">
        <f>+'Proy de Suscriptores APS1'!F37</f>
        <v>133710.55751249997</v>
      </c>
      <c r="G27" s="148">
        <f>+'Proy de Suscriptores APS1'!G37</f>
        <v>137280.65045681249</v>
      </c>
      <c r="H27" s="148">
        <f>+'Proy de Suscriptores APS1'!H37</f>
        <v>140980.37757662532</v>
      </c>
      <c r="I27" s="148">
        <f>+'Proy de Suscriptores APS1'!I37</f>
        <v>144816.11665602835</v>
      </c>
      <c r="J27" s="148">
        <f>+'Proy de Suscriptores APS1'!J37</f>
        <v>148794.61906633104</v>
      </c>
      <c r="K27" s="148">
        <f>+'Proy de Suscriptores APS1'!K37</f>
        <v>152923.03322985664</v>
      </c>
      <c r="L27" s="148">
        <f>+'Proy de Suscriptores APS1'!L37</f>
        <v>157208.92959249567</v>
      </c>
      <c r="M27" s="148">
        <f>+'Proy de Suscriptores APS1'!M37</f>
        <v>161660.32720276021</v>
      </c>
    </row>
    <row r="28" spans="1:14">
      <c r="A28" s="146" t="s">
        <v>164</v>
      </c>
      <c r="B28" s="146" t="s">
        <v>165</v>
      </c>
      <c r="C28" s="146"/>
      <c r="D28" s="152">
        <f>(D26-6)*D27*12</f>
        <v>52623981.551992826</v>
      </c>
      <c r="E28" s="152">
        <f t="shared" ref="E28:M28" si="4">(E26-6)*E27*12</f>
        <v>49598149.221160464</v>
      </c>
      <c r="F28" s="152">
        <f t="shared" si="4"/>
        <v>51720790.293806866</v>
      </c>
      <c r="G28" s="152">
        <f t="shared" si="4"/>
        <v>52357133.29233364</v>
      </c>
      <c r="H28" s="152">
        <f t="shared" si="4"/>
        <v>53003485.649644122</v>
      </c>
      <c r="I28" s="152">
        <f t="shared" si="4"/>
        <v>53660101.179790497</v>
      </c>
      <c r="J28" s="152">
        <f t="shared" si="4"/>
        <v>48900328.183138415</v>
      </c>
      <c r="K28" s="152">
        <f t="shared" si="4"/>
        <v>49611156.211394928</v>
      </c>
      <c r="L28" s="152">
        <f t="shared" si="4"/>
        <v>50337532.428794436</v>
      </c>
      <c r="M28" s="152">
        <f t="shared" si="4"/>
        <v>53116915.131422222</v>
      </c>
    </row>
  </sheetData>
  <mergeCells count="2">
    <mergeCell ref="A1:H1"/>
    <mergeCell ref="A2:C2"/>
  </mergeCells>
  <pageMargins left="0.7" right="0.7" top="0.75" bottom="0.75" header="0.3" footer="0.3"/>
  <pageSetup orientation="portrait" horizontalDpi="4294967293" verticalDpi="12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L105"/>
  <sheetViews>
    <sheetView topLeftCell="A7" workbookViewId="0">
      <selection sqref="A1:H1"/>
    </sheetView>
  </sheetViews>
  <sheetFormatPr baseColWidth="10" defaultRowHeight="15"/>
  <cols>
    <col min="1" max="1" width="15" customWidth="1"/>
    <col min="2" max="2" width="74.7109375" bestFit="1" customWidth="1"/>
    <col min="3" max="3" width="12.5703125" bestFit="1" customWidth="1"/>
    <col min="4" max="6" width="15.140625" bestFit="1" customWidth="1"/>
    <col min="7" max="7" width="16.42578125" customWidth="1"/>
    <col min="8" max="8" width="16.85546875" bestFit="1" customWidth="1"/>
    <col min="9" max="9" width="21" bestFit="1" customWidth="1"/>
    <col min="10" max="10" width="22.5703125" bestFit="1" customWidth="1"/>
    <col min="11" max="11" width="12.5703125" bestFit="1" customWidth="1"/>
  </cols>
  <sheetData>
    <row r="1" spans="1:10" ht="21">
      <c r="A1" s="350" t="s">
        <v>283</v>
      </c>
      <c r="B1" s="350"/>
      <c r="C1" s="350"/>
      <c r="D1" s="350"/>
      <c r="E1" s="350"/>
      <c r="F1" s="350"/>
      <c r="G1" s="350"/>
      <c r="H1" s="350"/>
    </row>
    <row r="2" spans="1:10" ht="18.75">
      <c r="A2" s="61" t="s">
        <v>86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30">
      <c r="A3" s="8" t="s">
        <v>16</v>
      </c>
      <c r="B3" s="8" t="s">
        <v>17</v>
      </c>
      <c r="C3" s="8"/>
      <c r="D3" s="21">
        <v>2013</v>
      </c>
      <c r="E3" s="21">
        <v>2014</v>
      </c>
      <c r="F3" s="21" t="s">
        <v>121</v>
      </c>
      <c r="G3" s="21" t="s">
        <v>122</v>
      </c>
      <c r="H3" s="21" t="s">
        <v>15</v>
      </c>
    </row>
    <row r="4" spans="1:10">
      <c r="A4" s="2" t="s">
        <v>2</v>
      </c>
      <c r="B4" s="2" t="s">
        <v>34</v>
      </c>
      <c r="C4" s="4"/>
      <c r="D4" s="3">
        <v>10667397361</v>
      </c>
      <c r="E4" s="3">
        <v>10667397361</v>
      </c>
      <c r="F4" s="36">
        <f>D4*$D$17</f>
        <v>11080225638.870699</v>
      </c>
      <c r="G4" s="3">
        <f t="shared" ref="G4:G15" si="0">E4*$D$18</f>
        <v>10780471773.0266</v>
      </c>
      <c r="H4" s="36">
        <f t="shared" ref="H4:H16" si="1">AVERAGE(F4:G4)</f>
        <v>10930348705.94865</v>
      </c>
    </row>
    <row r="5" spans="1:10">
      <c r="A5" s="2" t="s">
        <v>4</v>
      </c>
      <c r="B5" s="2" t="s">
        <v>7</v>
      </c>
      <c r="C5" s="4"/>
      <c r="D5" s="3">
        <v>1224960476</v>
      </c>
      <c r="E5" s="3">
        <v>1224960476</v>
      </c>
      <c r="F5" s="36">
        <f t="shared" ref="F5:F15" si="2">D5*$D$17</f>
        <v>1272366446.4212</v>
      </c>
      <c r="G5" s="3">
        <f t="shared" si="0"/>
        <v>1237945057.0455999</v>
      </c>
      <c r="H5" s="36">
        <f t="shared" si="1"/>
        <v>1255155751.7333999</v>
      </c>
    </row>
    <row r="6" spans="1:10">
      <c r="A6" s="2" t="s">
        <v>5</v>
      </c>
      <c r="B6" s="2" t="s">
        <v>35</v>
      </c>
      <c r="C6" s="4"/>
      <c r="D6" s="3">
        <v>46468456</v>
      </c>
      <c r="E6" s="3">
        <v>54587489</v>
      </c>
      <c r="F6" s="36">
        <f t="shared" si="2"/>
        <v>48266785.247199997</v>
      </c>
      <c r="G6" s="3">
        <f t="shared" si="0"/>
        <v>55166116.383399993</v>
      </c>
      <c r="H6" s="36">
        <f t="shared" si="1"/>
        <v>51716450.815299995</v>
      </c>
    </row>
    <row r="7" spans="1:10">
      <c r="A7" s="2" t="s">
        <v>6</v>
      </c>
      <c r="B7" s="2" t="s">
        <v>36</v>
      </c>
      <c r="C7" s="4"/>
      <c r="D7" s="3">
        <v>144179277</v>
      </c>
      <c r="E7" s="3">
        <v>144179277</v>
      </c>
      <c r="F7" s="36">
        <f t="shared" si="2"/>
        <v>149759015.01989999</v>
      </c>
      <c r="G7" s="3">
        <f t="shared" si="0"/>
        <v>145707577.3362</v>
      </c>
      <c r="H7" s="36">
        <f t="shared" si="1"/>
        <v>147733296.17804998</v>
      </c>
    </row>
    <row r="8" spans="1:10">
      <c r="A8" s="2" t="s">
        <v>9</v>
      </c>
      <c r="B8" s="2" t="s">
        <v>37</v>
      </c>
      <c r="C8" s="4"/>
      <c r="D8" s="3">
        <v>1313874519</v>
      </c>
      <c r="E8" s="3">
        <v>1313874519</v>
      </c>
      <c r="F8" s="36">
        <f t="shared" si="2"/>
        <v>1364721462.8852999</v>
      </c>
      <c r="G8" s="3">
        <f t="shared" si="0"/>
        <v>1327801588.9013999</v>
      </c>
      <c r="H8" s="36">
        <f t="shared" si="1"/>
        <v>1346261525.8933499</v>
      </c>
    </row>
    <row r="9" spans="1:10">
      <c r="A9" s="2" t="s">
        <v>10</v>
      </c>
      <c r="B9" s="2" t="s">
        <v>38</v>
      </c>
      <c r="C9" s="4"/>
      <c r="D9" s="3">
        <v>191793790</v>
      </c>
      <c r="E9" s="3">
        <v>191793790</v>
      </c>
      <c r="F9" s="36">
        <f t="shared" si="2"/>
        <v>199216209.67299998</v>
      </c>
      <c r="G9" s="3">
        <f t="shared" si="0"/>
        <v>193826804.17399999</v>
      </c>
      <c r="H9" s="36">
        <f t="shared" si="1"/>
        <v>196521506.9235</v>
      </c>
    </row>
    <row r="10" spans="1:10">
      <c r="A10" s="2" t="s">
        <v>11</v>
      </c>
      <c r="B10" s="2" t="s">
        <v>39</v>
      </c>
      <c r="C10" s="4"/>
      <c r="D10" s="3">
        <v>240954479</v>
      </c>
      <c r="E10" s="3">
        <v>240954479</v>
      </c>
      <c r="F10" s="36">
        <f t="shared" si="2"/>
        <v>250279417.3373</v>
      </c>
      <c r="G10" s="3">
        <f t="shared" si="0"/>
        <v>243508596.47739998</v>
      </c>
      <c r="H10" s="36">
        <f t="shared" si="1"/>
        <v>246894006.90735</v>
      </c>
    </row>
    <row r="11" spans="1:10">
      <c r="A11" s="2" t="s">
        <v>13</v>
      </c>
      <c r="B11" s="2" t="s">
        <v>40</v>
      </c>
      <c r="C11" s="4"/>
      <c r="D11" s="3">
        <v>112460184</v>
      </c>
      <c r="E11" s="3">
        <v>112460184</v>
      </c>
      <c r="F11" s="36">
        <f t="shared" si="2"/>
        <v>116812393.12079999</v>
      </c>
      <c r="G11" s="3">
        <f t="shared" si="0"/>
        <v>113652261.95039999</v>
      </c>
      <c r="H11" s="36">
        <f t="shared" si="1"/>
        <v>115232327.53559999</v>
      </c>
    </row>
    <row r="12" spans="1:10">
      <c r="A12" s="2" t="s">
        <v>41</v>
      </c>
      <c r="B12" s="2" t="s">
        <v>42</v>
      </c>
      <c r="C12" s="4"/>
      <c r="D12" s="3">
        <v>448292798</v>
      </c>
      <c r="E12" s="3">
        <v>448292798</v>
      </c>
      <c r="F12" s="36">
        <f t="shared" si="2"/>
        <v>465641729.28259999</v>
      </c>
      <c r="G12" s="3">
        <f t="shared" si="0"/>
        <v>453044701.65879995</v>
      </c>
      <c r="H12" s="36">
        <f t="shared" si="1"/>
        <v>459343215.47069997</v>
      </c>
    </row>
    <row r="13" spans="1:10">
      <c r="A13" s="2" t="s">
        <v>43</v>
      </c>
      <c r="B13" s="2" t="s">
        <v>44</v>
      </c>
      <c r="C13" s="4"/>
      <c r="D13" s="3">
        <v>45486455</v>
      </c>
      <c r="E13" s="3">
        <v>56454125</v>
      </c>
      <c r="F13" s="36">
        <f t="shared" si="2"/>
        <v>47246780.808499999</v>
      </c>
      <c r="G13" s="3">
        <f t="shared" si="0"/>
        <v>57052538.724999994</v>
      </c>
      <c r="H13" s="36">
        <f t="shared" si="1"/>
        <v>52149659.766749993</v>
      </c>
    </row>
    <row r="14" spans="1:10">
      <c r="A14" s="2" t="s">
        <v>45</v>
      </c>
      <c r="B14" s="2" t="s">
        <v>46</v>
      </c>
      <c r="C14" s="4"/>
      <c r="D14" s="3">
        <v>3515421</v>
      </c>
      <c r="E14" s="3">
        <v>5346840</v>
      </c>
      <c r="F14" s="36">
        <f t="shared" si="2"/>
        <v>3651467.7926999996</v>
      </c>
      <c r="G14" s="3">
        <f t="shared" si="0"/>
        <v>5403516.5039999997</v>
      </c>
      <c r="H14" s="36">
        <f t="shared" si="1"/>
        <v>4527492.1483499995</v>
      </c>
    </row>
    <row r="15" spans="1:10">
      <c r="A15" s="2" t="s">
        <v>125</v>
      </c>
      <c r="B15" s="2" t="s">
        <v>126</v>
      </c>
      <c r="C15" s="4"/>
      <c r="D15" s="3">
        <v>144759181</v>
      </c>
      <c r="E15" s="3">
        <v>144759181</v>
      </c>
      <c r="F15" s="36">
        <f t="shared" si="2"/>
        <v>150361361.30469999</v>
      </c>
      <c r="G15" s="3">
        <f t="shared" si="0"/>
        <v>146293628.3186</v>
      </c>
      <c r="H15" s="36">
        <f t="shared" si="1"/>
        <v>148327494.81164998</v>
      </c>
    </row>
    <row r="16" spans="1:10" ht="15.75">
      <c r="A16" s="7" t="s">
        <v>99</v>
      </c>
      <c r="B16" s="7" t="s">
        <v>105</v>
      </c>
      <c r="C16" s="4"/>
      <c r="D16" s="30">
        <f>SUM(D4:D15)</f>
        <v>14584142397</v>
      </c>
      <c r="E16" s="30">
        <f>SUM(E4:E15)</f>
        <v>14605060519</v>
      </c>
      <c r="F16" s="36">
        <f>D16*$D$17</f>
        <v>15148548707.763899</v>
      </c>
      <c r="G16" s="30">
        <f>E16*$D$18</f>
        <v>14759874160.5014</v>
      </c>
      <c r="H16" s="68">
        <f t="shared" si="1"/>
        <v>14954211434.132648</v>
      </c>
    </row>
    <row r="17" spans="1:10">
      <c r="A17" s="1"/>
      <c r="B17" s="56" t="s">
        <v>369</v>
      </c>
      <c r="C17" s="22"/>
      <c r="D17" s="53">
        <v>1.0387</v>
      </c>
      <c r="E17" s="52"/>
      <c r="F17" s="133"/>
      <c r="G17" s="1"/>
      <c r="H17" s="37"/>
    </row>
    <row r="18" spans="1:10">
      <c r="A18" s="1"/>
      <c r="B18" s="56" t="s">
        <v>370</v>
      </c>
      <c r="C18" s="20"/>
      <c r="D18" s="58">
        <v>1.0105999999999999</v>
      </c>
      <c r="E18" s="52"/>
      <c r="F18" s="1"/>
      <c r="G18" s="1"/>
      <c r="H18" s="1"/>
    </row>
    <row r="19" spans="1:10">
      <c r="A19" s="1"/>
      <c r="B19" s="1"/>
      <c r="C19" s="1"/>
      <c r="D19" s="1"/>
      <c r="E19" s="1"/>
      <c r="F19" s="1"/>
      <c r="G19" s="1"/>
      <c r="H19" s="1"/>
    </row>
    <row r="20" spans="1:10">
      <c r="A20" s="8" t="s">
        <v>106</v>
      </c>
      <c r="B20" s="4" t="s">
        <v>107</v>
      </c>
      <c r="C20" s="4"/>
      <c r="D20" s="5">
        <v>107500</v>
      </c>
      <c r="E20" s="5">
        <v>108900</v>
      </c>
      <c r="F20" s="4"/>
      <c r="G20" s="6"/>
      <c r="H20" s="24">
        <f>AVERAGE(D20,E20)</f>
        <v>108200</v>
      </c>
    </row>
    <row r="21" spans="1:10">
      <c r="A21" s="1"/>
      <c r="B21" s="1"/>
      <c r="C21" s="1"/>
      <c r="D21" s="1"/>
      <c r="E21" s="1"/>
      <c r="F21" s="1"/>
      <c r="G21" s="1"/>
      <c r="H21" s="1"/>
    </row>
    <row r="22" spans="1:10">
      <c r="A22" s="7" t="s">
        <v>108</v>
      </c>
      <c r="B22" s="2" t="s">
        <v>109</v>
      </c>
      <c r="C22" s="2"/>
      <c r="D22" s="2"/>
      <c r="E22" s="2"/>
      <c r="F22" s="2"/>
      <c r="G22" s="2"/>
      <c r="H22" s="29">
        <f>H16/(H20*12)</f>
        <v>11517.414844526069</v>
      </c>
    </row>
    <row r="23" spans="1:10">
      <c r="A23" s="1"/>
      <c r="B23" s="1"/>
      <c r="C23" s="1"/>
      <c r="D23" s="1"/>
      <c r="E23" s="1"/>
      <c r="F23" s="1"/>
      <c r="G23" s="1"/>
      <c r="H23" s="1"/>
    </row>
    <row r="24" spans="1:10">
      <c r="A24" s="1"/>
      <c r="B24" s="1"/>
      <c r="C24" s="1"/>
      <c r="D24" s="1"/>
      <c r="E24" s="1"/>
      <c r="F24" s="1"/>
      <c r="G24" s="1"/>
      <c r="H24" s="1"/>
    </row>
    <row r="25" spans="1:10" ht="18.75">
      <c r="A25" s="55" t="s">
        <v>47</v>
      </c>
      <c r="B25" s="48" t="s">
        <v>49</v>
      </c>
      <c r="C25" s="6"/>
      <c r="D25" s="6"/>
      <c r="E25" s="6"/>
      <c r="F25" s="6"/>
      <c r="G25" s="28">
        <v>0.9</v>
      </c>
      <c r="H25" s="27">
        <f>H22*G25</f>
        <v>10365.673360073462</v>
      </c>
    </row>
    <row r="28" spans="1:10">
      <c r="A28" s="7" t="s">
        <v>22</v>
      </c>
      <c r="B28" s="2" t="s">
        <v>21</v>
      </c>
      <c r="C28" s="42">
        <v>0</v>
      </c>
      <c r="D28" s="33">
        <v>1</v>
      </c>
      <c r="E28" s="33">
        <v>2</v>
      </c>
      <c r="F28" s="33">
        <v>3</v>
      </c>
      <c r="G28" s="33">
        <v>4</v>
      </c>
      <c r="H28" s="33">
        <v>5</v>
      </c>
      <c r="J28" s="44"/>
    </row>
    <row r="29" spans="1:10" ht="18.75">
      <c r="A29" s="12" t="s">
        <v>48</v>
      </c>
      <c r="B29" s="6" t="s">
        <v>117</v>
      </c>
      <c r="C29" s="3">
        <f>G16/(E20*12)</f>
        <v>11294.669544307775</v>
      </c>
      <c r="D29" s="3">
        <f>C29-(($C$29-$H$25)/5)</f>
        <v>11108.870307460913</v>
      </c>
      <c r="E29" s="3">
        <f>D29-(($C$29-$H$25)/5)</f>
        <v>10923.071070614051</v>
      </c>
      <c r="F29" s="3">
        <f>E29-(($C$29-$H$25)/5)</f>
        <v>10737.271833767189</v>
      </c>
      <c r="G29" s="3">
        <f>F29-(($C$29-$H$25)/5)</f>
        <v>10551.472596920326</v>
      </c>
      <c r="H29" s="3">
        <f>G29-(($C$29-$H$25)/5)</f>
        <v>10365.673360073464</v>
      </c>
      <c r="J29" s="19"/>
    </row>
    <row r="30" spans="1:10" ht="18.75">
      <c r="A30" s="12" t="s">
        <v>23</v>
      </c>
      <c r="B30" s="6" t="s">
        <v>24</v>
      </c>
      <c r="C30" s="6"/>
      <c r="D30" s="23">
        <f>+'Proy de Suscriptores APS1'!D37</f>
        <v>115471.33</v>
      </c>
      <c r="E30" s="23">
        <f>+'Proy de Suscriptores APS1'!E37</f>
        <v>126449.9025</v>
      </c>
      <c r="F30" s="23">
        <f>+'Proy de Suscriptores APS1'!F37</f>
        <v>133710.55751249997</v>
      </c>
      <c r="G30" s="23">
        <f>+'Proy de Suscriptores APS1'!G37</f>
        <v>137280.65045681249</v>
      </c>
      <c r="H30" s="23">
        <f>+'Proy de Suscriptores APS1'!H37</f>
        <v>140980.37757662532</v>
      </c>
      <c r="J30" s="19"/>
    </row>
    <row r="31" spans="1:10" ht="18.75">
      <c r="A31" s="11" t="s">
        <v>50</v>
      </c>
      <c r="B31" s="8" t="s">
        <v>51</v>
      </c>
      <c r="C31" s="4"/>
      <c r="D31" s="30">
        <f>D29*D30*12</f>
        <v>15393072350.400246</v>
      </c>
      <c r="E31" s="30">
        <f>E29*E30*12</f>
        <v>16574655262.556608</v>
      </c>
      <c r="F31" s="30">
        <f>F29*F30*12</f>
        <v>17228239236.675285</v>
      </c>
      <c r="G31" s="30">
        <f>G29*G30*12</f>
        <v>17382156256.589458</v>
      </c>
      <c r="H31" s="30">
        <f>H29*H30*12</f>
        <v>17536278529.669479</v>
      </c>
      <c r="J31" s="19"/>
    </row>
    <row r="32" spans="1:10" ht="18.75">
      <c r="A32" s="31"/>
      <c r="B32" s="17"/>
      <c r="C32" s="19"/>
      <c r="D32" s="41"/>
      <c r="E32" s="41"/>
      <c r="F32" s="41"/>
      <c r="G32" s="41"/>
      <c r="H32" s="41"/>
      <c r="I32" s="19"/>
      <c r="J32" s="38"/>
    </row>
    <row r="33" spans="1:12" ht="18.75">
      <c r="A33" s="61" t="s">
        <v>87</v>
      </c>
      <c r="B33" s="62"/>
      <c r="C33" s="62"/>
      <c r="D33" s="62"/>
      <c r="E33" s="62"/>
      <c r="F33" s="62"/>
      <c r="G33" s="62"/>
      <c r="H33" s="62"/>
      <c r="I33" s="62"/>
      <c r="J33" s="63"/>
    </row>
    <row r="35" spans="1:12" ht="30">
      <c r="A35" s="6"/>
      <c r="B35" s="6"/>
      <c r="C35" s="6"/>
      <c r="D35" s="21">
        <v>2013</v>
      </c>
      <c r="E35" s="21">
        <v>2014</v>
      </c>
      <c r="F35" s="21" t="s">
        <v>121</v>
      </c>
      <c r="G35" s="21" t="s">
        <v>122</v>
      </c>
      <c r="H35" s="21" t="s">
        <v>15</v>
      </c>
      <c r="J35" s="19"/>
      <c r="K35" s="19"/>
      <c r="L35" s="19"/>
    </row>
    <row r="36" spans="1:12">
      <c r="A36" s="7" t="s">
        <v>54</v>
      </c>
      <c r="B36" s="6" t="s">
        <v>55</v>
      </c>
      <c r="C36" s="4"/>
      <c r="D36" s="5"/>
      <c r="E36" s="3">
        <v>544564145</v>
      </c>
      <c r="F36" s="23"/>
      <c r="G36" s="54">
        <f>E36*D18</f>
        <v>550336524.93699992</v>
      </c>
      <c r="H36" s="23">
        <f>AVERAGE(F36:G36)</f>
        <v>550336524.93699992</v>
      </c>
      <c r="J36" s="32"/>
      <c r="K36" s="41"/>
      <c r="L36" s="19"/>
    </row>
    <row r="37" spans="1:12">
      <c r="A37" s="7" t="s">
        <v>57</v>
      </c>
      <c r="B37" s="6" t="s">
        <v>58</v>
      </c>
      <c r="C37" s="4"/>
      <c r="D37" s="23"/>
      <c r="E37" s="23">
        <v>40689561</v>
      </c>
      <c r="F37" s="3"/>
      <c r="G37" s="6"/>
      <c r="H37" s="3">
        <f>+E37</f>
        <v>40689561</v>
      </c>
      <c r="I37" s="15"/>
      <c r="J37" s="46"/>
      <c r="K37" s="46"/>
      <c r="L37" s="19"/>
    </row>
    <row r="38" spans="1:12">
      <c r="A38" s="7" t="s">
        <v>52</v>
      </c>
      <c r="B38" s="6" t="s">
        <v>59</v>
      </c>
      <c r="C38" s="6"/>
      <c r="D38" s="6"/>
      <c r="E38" s="6"/>
      <c r="F38" s="6"/>
      <c r="G38" s="6"/>
      <c r="H38" s="66">
        <f>H36/H37</f>
        <v>13.525250983587656</v>
      </c>
      <c r="J38" s="46"/>
      <c r="K38" s="46"/>
      <c r="L38" s="19"/>
    </row>
    <row r="39" spans="1:12">
      <c r="A39" s="39"/>
      <c r="B39" s="19"/>
      <c r="C39" s="19"/>
      <c r="D39" s="19"/>
      <c r="E39" s="19"/>
      <c r="F39" s="19"/>
      <c r="G39" s="19"/>
      <c r="H39" s="19"/>
    </row>
    <row r="40" spans="1:12">
      <c r="A40" s="7" t="s">
        <v>22</v>
      </c>
      <c r="B40" s="2" t="s">
        <v>21</v>
      </c>
      <c r="C40" s="6"/>
      <c r="D40" s="42">
        <v>1</v>
      </c>
      <c r="E40" s="42">
        <v>2</v>
      </c>
      <c r="F40" s="42">
        <v>3</v>
      </c>
      <c r="G40" s="43">
        <v>4</v>
      </c>
      <c r="H40" s="43">
        <v>5</v>
      </c>
    </row>
    <row r="41" spans="1:12">
      <c r="A41" s="7" t="s">
        <v>52</v>
      </c>
      <c r="B41" s="6" t="s">
        <v>59</v>
      </c>
      <c r="C41" s="6"/>
      <c r="D41" s="34">
        <f>+H38</f>
        <v>13.525250983587656</v>
      </c>
      <c r="E41" s="34">
        <f>+D41</f>
        <v>13.525250983587656</v>
      </c>
      <c r="F41" s="34">
        <f>+E41</f>
        <v>13.525250983587656</v>
      </c>
      <c r="G41" s="34">
        <f>+F41</f>
        <v>13.525250983587656</v>
      </c>
      <c r="H41" s="34">
        <f>+G41</f>
        <v>13.525250983587656</v>
      </c>
    </row>
    <row r="42" spans="1:12">
      <c r="A42" s="7" t="s">
        <v>60</v>
      </c>
      <c r="B42" s="20" t="s">
        <v>61</v>
      </c>
      <c r="C42" s="20"/>
      <c r="D42" s="3">
        <f>E37+(E37*0.02)</f>
        <v>41503352.219999999</v>
      </c>
      <c r="E42" s="3">
        <f>D42+(D42*0.02)</f>
        <v>42333419.264399998</v>
      </c>
      <c r="F42" s="3">
        <f t="shared" ref="F42:H42" si="3">E42+(E42*0.02)</f>
        <v>43180087.649687998</v>
      </c>
      <c r="G42" s="3">
        <f t="shared" si="3"/>
        <v>44043689.40268176</v>
      </c>
      <c r="H42" s="3">
        <f t="shared" si="3"/>
        <v>44924563.190735392</v>
      </c>
    </row>
    <row r="43" spans="1:12">
      <c r="A43" s="7" t="s">
        <v>62</v>
      </c>
      <c r="B43" s="8" t="s">
        <v>63</v>
      </c>
      <c r="C43" s="20"/>
      <c r="D43" s="47">
        <f>D42*D41</f>
        <v>561343255.43573987</v>
      </c>
      <c r="E43" s="30">
        <f>E42*E41</f>
        <v>572570120.54445469</v>
      </c>
      <c r="F43" s="30">
        <f>F42*F41</f>
        <v>584021522.95534372</v>
      </c>
      <c r="G43" s="30">
        <f>G42*G41</f>
        <v>595701953.41445065</v>
      </c>
      <c r="H43" s="30">
        <f>H42*H41</f>
        <v>607615992.48273969</v>
      </c>
    </row>
    <row r="44" spans="1:12">
      <c r="A44" s="39"/>
      <c r="B44" s="17"/>
      <c r="C44" s="17"/>
      <c r="D44" s="41"/>
      <c r="E44" s="41"/>
      <c r="F44" s="45"/>
      <c r="G44" s="41"/>
      <c r="H44" s="41"/>
      <c r="I44" s="41"/>
    </row>
    <row r="45" spans="1:12">
      <c r="A45" s="39"/>
      <c r="B45" s="17"/>
      <c r="C45" s="17"/>
      <c r="D45" s="41"/>
      <c r="E45" s="41"/>
      <c r="F45" s="45"/>
      <c r="G45" s="41"/>
      <c r="H45" s="41"/>
      <c r="I45" s="41"/>
    </row>
    <row r="47" spans="1:12" ht="30">
      <c r="A47" s="6"/>
      <c r="B47" s="6"/>
      <c r="C47" s="6"/>
      <c r="D47" s="21">
        <v>2013</v>
      </c>
      <c r="E47" s="21">
        <v>2014</v>
      </c>
      <c r="F47" s="21" t="s">
        <v>121</v>
      </c>
      <c r="G47" s="21" t="s">
        <v>122</v>
      </c>
      <c r="H47" s="21" t="s">
        <v>15</v>
      </c>
    </row>
    <row r="48" spans="1:12">
      <c r="A48" s="7" t="s">
        <v>53</v>
      </c>
      <c r="B48" s="6" t="s">
        <v>56</v>
      </c>
      <c r="C48" s="4"/>
      <c r="D48" s="3"/>
      <c r="E48" s="3">
        <v>4584445</v>
      </c>
      <c r="F48" s="23"/>
      <c r="G48" s="3">
        <f>E48*D18</f>
        <v>4633040.1169999996</v>
      </c>
      <c r="H48" s="23">
        <f>AVERAGE(F48:G48)</f>
        <v>4633040.1169999996</v>
      </c>
    </row>
    <row r="49" spans="1:8">
      <c r="A49" s="7" t="s">
        <v>67</v>
      </c>
      <c r="B49" s="6" t="s">
        <v>68</v>
      </c>
      <c r="C49" s="4"/>
      <c r="D49" s="3"/>
      <c r="E49" s="3">
        <f>+E37</f>
        <v>40689561</v>
      </c>
      <c r="F49" s="3"/>
      <c r="H49" s="3">
        <f>AVERAGE(D49,E49)</f>
        <v>40689561</v>
      </c>
    </row>
    <row r="50" spans="1:8">
      <c r="A50" s="7" t="s">
        <v>64</v>
      </c>
      <c r="B50" s="6" t="s">
        <v>66</v>
      </c>
      <c r="C50" s="6"/>
      <c r="D50" s="6"/>
      <c r="E50" s="6"/>
      <c r="F50" s="6"/>
      <c r="G50" s="6"/>
      <c r="H50" s="40">
        <f>H48/H49</f>
        <v>0.1138631138586135</v>
      </c>
    </row>
    <row r="51" spans="1:8">
      <c r="A51" s="39"/>
      <c r="B51" s="19"/>
      <c r="C51" s="19"/>
      <c r="D51" s="19"/>
      <c r="E51" s="41"/>
      <c r="F51" s="19"/>
      <c r="G51" s="19"/>
      <c r="H51" s="19"/>
    </row>
    <row r="52" spans="1:8">
      <c r="A52" s="7" t="s">
        <v>22</v>
      </c>
      <c r="B52" s="2" t="s">
        <v>21</v>
      </c>
      <c r="C52" s="6"/>
      <c r="D52" s="42">
        <v>1</v>
      </c>
      <c r="E52" s="42">
        <v>2</v>
      </c>
      <c r="F52" s="42">
        <v>3</v>
      </c>
      <c r="G52" s="43">
        <v>4</v>
      </c>
      <c r="H52" s="43">
        <v>5</v>
      </c>
    </row>
    <row r="53" spans="1:8">
      <c r="A53" s="7" t="s">
        <v>64</v>
      </c>
      <c r="B53" s="6" t="s">
        <v>66</v>
      </c>
      <c r="C53" s="6"/>
      <c r="D53" s="34">
        <f>+H50</f>
        <v>0.1138631138586135</v>
      </c>
      <c r="E53" s="34">
        <f>+D53</f>
        <v>0.1138631138586135</v>
      </c>
      <c r="F53" s="34">
        <f>+E53</f>
        <v>0.1138631138586135</v>
      </c>
      <c r="G53" s="34">
        <f>+F53</f>
        <v>0.1138631138586135</v>
      </c>
      <c r="H53" s="34">
        <f>+G53</f>
        <v>0.1138631138586135</v>
      </c>
    </row>
    <row r="54" spans="1:8">
      <c r="A54" s="7" t="s">
        <v>69</v>
      </c>
      <c r="B54" s="20" t="s">
        <v>70</v>
      </c>
      <c r="C54" s="20"/>
      <c r="D54" s="3">
        <f>+D42</f>
        <v>41503352.219999999</v>
      </c>
      <c r="E54" s="3">
        <f t="shared" ref="E54:H54" si="4">+E42</f>
        <v>42333419.264399998</v>
      </c>
      <c r="F54" s="3">
        <f t="shared" si="4"/>
        <v>43180087.649687998</v>
      </c>
      <c r="G54" s="3">
        <f t="shared" si="4"/>
        <v>44043689.40268176</v>
      </c>
      <c r="H54" s="3">
        <f t="shared" si="4"/>
        <v>44924563.190735392</v>
      </c>
    </row>
    <row r="55" spans="1:8">
      <c r="A55" s="7" t="s">
        <v>65</v>
      </c>
      <c r="B55" s="8" t="s">
        <v>77</v>
      </c>
      <c r="C55" s="20"/>
      <c r="D55" s="30">
        <f>D54*D53</f>
        <v>4725700.9193399996</v>
      </c>
      <c r="E55" s="30">
        <f>E54*E53</f>
        <v>4820214.9377267994</v>
      </c>
      <c r="F55" s="30">
        <f>F54*F53</f>
        <v>4916619.236481335</v>
      </c>
      <c r="G55" s="30">
        <f>G54*G53</f>
        <v>5014951.6212109625</v>
      </c>
      <c r="H55" s="30">
        <f>H54*H53</f>
        <v>5115250.6536351815</v>
      </c>
    </row>
    <row r="56" spans="1:8">
      <c r="D56" s="67"/>
      <c r="E56" s="67"/>
      <c r="F56" s="67"/>
      <c r="G56" s="67"/>
      <c r="H56" s="67"/>
    </row>
    <row r="57" spans="1:8">
      <c r="D57" s="15"/>
      <c r="E57" s="15"/>
      <c r="F57" s="15"/>
    </row>
    <row r="58" spans="1:8">
      <c r="A58" s="7" t="s">
        <v>22</v>
      </c>
      <c r="B58" s="2" t="s">
        <v>21</v>
      </c>
      <c r="C58" s="6"/>
      <c r="D58" s="42">
        <v>1</v>
      </c>
      <c r="E58" s="42">
        <v>2</v>
      </c>
      <c r="F58" s="42">
        <v>3</v>
      </c>
      <c r="G58" s="43">
        <v>4</v>
      </c>
      <c r="H58" s="43">
        <v>5</v>
      </c>
    </row>
    <row r="59" spans="1:8">
      <c r="A59" s="7" t="s">
        <v>62</v>
      </c>
      <c r="B59" s="20" t="s">
        <v>63</v>
      </c>
      <c r="C59" s="20"/>
      <c r="D59" s="3">
        <f>+D43</f>
        <v>561343255.43573987</v>
      </c>
      <c r="E59" s="3">
        <f>+E43</f>
        <v>572570120.54445469</v>
      </c>
      <c r="F59" s="3">
        <f>+F43</f>
        <v>584021522.95534372</v>
      </c>
      <c r="G59" s="3">
        <f>+G43</f>
        <v>595701953.41445065</v>
      </c>
      <c r="H59" s="3">
        <f>+H43</f>
        <v>607615992.48273969</v>
      </c>
    </row>
    <row r="60" spans="1:8">
      <c r="A60" s="7" t="s">
        <v>65</v>
      </c>
      <c r="B60" s="20" t="s">
        <v>77</v>
      </c>
      <c r="C60" s="20"/>
      <c r="D60" s="3">
        <f>+D55</f>
        <v>4725700.9193399996</v>
      </c>
      <c r="E60" s="3">
        <f>+E55</f>
        <v>4820214.9377267994</v>
      </c>
      <c r="F60" s="3">
        <f>+F55</f>
        <v>4916619.236481335</v>
      </c>
      <c r="G60" s="3">
        <f>+G55</f>
        <v>5014951.6212109625</v>
      </c>
      <c r="H60" s="3">
        <f>+H55</f>
        <v>5115250.6536351815</v>
      </c>
    </row>
    <row r="61" spans="1:8" ht="15.75">
      <c r="A61" s="9" t="s">
        <v>71</v>
      </c>
      <c r="B61" s="8" t="s">
        <v>72</v>
      </c>
      <c r="C61" s="20"/>
      <c r="D61" s="29">
        <f>D59+D60</f>
        <v>566068956.35507989</v>
      </c>
      <c r="E61" s="29">
        <f>E59+E60</f>
        <v>577390335.48218155</v>
      </c>
      <c r="F61" s="29">
        <f>F59+F60</f>
        <v>588938142.19182503</v>
      </c>
      <c r="G61" s="29">
        <f>G59+G60</f>
        <v>600716905.03566158</v>
      </c>
      <c r="H61" s="29">
        <f>H59+H60</f>
        <v>612731243.13637483</v>
      </c>
    </row>
    <row r="64" spans="1:8" ht="30">
      <c r="A64" s="6"/>
      <c r="B64" s="6"/>
      <c r="C64" s="6"/>
      <c r="D64" s="21">
        <v>2013</v>
      </c>
      <c r="E64" s="21">
        <v>2014</v>
      </c>
      <c r="F64" s="21" t="s">
        <v>121</v>
      </c>
      <c r="G64" s="21" t="s">
        <v>122</v>
      </c>
      <c r="H64" s="21" t="s">
        <v>15</v>
      </c>
    </row>
    <row r="65" spans="1:8">
      <c r="A65" s="7" t="s">
        <v>73</v>
      </c>
      <c r="B65" s="6" t="s">
        <v>116</v>
      </c>
      <c r="C65" s="4"/>
      <c r="D65" s="5"/>
      <c r="E65" s="3">
        <v>544864845</v>
      </c>
      <c r="F65" s="23"/>
      <c r="G65" s="3">
        <f>E65*D18</f>
        <v>550640412.35699999</v>
      </c>
      <c r="H65" s="23">
        <f>+G65</f>
        <v>550640412.35699999</v>
      </c>
    </row>
    <row r="66" spans="1:8">
      <c r="A66" s="7" t="s">
        <v>57</v>
      </c>
      <c r="B66" s="6" t="s">
        <v>58</v>
      </c>
      <c r="C66" s="64"/>
      <c r="E66" s="23">
        <f>+E37</f>
        <v>40689561</v>
      </c>
      <c r="F66" s="3"/>
      <c r="G66" s="6"/>
      <c r="H66" s="3">
        <f>+E66</f>
        <v>40689561</v>
      </c>
    </row>
    <row r="67" spans="1:8">
      <c r="A67" s="7" t="s">
        <v>74</v>
      </c>
      <c r="B67" s="6" t="s">
        <v>76</v>
      </c>
      <c r="C67" s="6"/>
      <c r="D67" s="6"/>
      <c r="E67" s="6"/>
      <c r="F67" s="6"/>
      <c r="G67" s="6"/>
      <c r="H67" s="34">
        <f>H65/H66</f>
        <v>13.532719420516726</v>
      </c>
    </row>
    <row r="68" spans="1:8">
      <c r="A68" s="39"/>
      <c r="B68" s="19"/>
      <c r="C68" s="19"/>
      <c r="D68" s="19"/>
      <c r="E68" s="41"/>
      <c r="F68" s="19"/>
      <c r="G68" s="19"/>
      <c r="H68" s="19"/>
    </row>
    <row r="69" spans="1:8">
      <c r="A69" s="7" t="s">
        <v>22</v>
      </c>
      <c r="B69" s="2" t="s">
        <v>21</v>
      </c>
      <c r="C69" s="6"/>
      <c r="D69" s="42">
        <v>1</v>
      </c>
      <c r="E69" s="42">
        <v>2</v>
      </c>
      <c r="F69" s="42">
        <v>3</v>
      </c>
      <c r="G69" s="43">
        <v>4</v>
      </c>
      <c r="H69" s="43">
        <v>5</v>
      </c>
    </row>
    <row r="70" spans="1:8">
      <c r="A70" s="7" t="s">
        <v>74</v>
      </c>
      <c r="B70" s="6" t="s">
        <v>76</v>
      </c>
      <c r="C70" s="6"/>
      <c r="D70" s="34">
        <f>+H67</f>
        <v>13.532719420516726</v>
      </c>
      <c r="E70" s="34">
        <f>+D70</f>
        <v>13.532719420516726</v>
      </c>
      <c r="F70" s="34">
        <f>+E70</f>
        <v>13.532719420516726</v>
      </c>
      <c r="G70" s="34">
        <f>+F70</f>
        <v>13.532719420516726</v>
      </c>
      <c r="H70" s="34">
        <f>+G70</f>
        <v>13.532719420516726</v>
      </c>
    </row>
    <row r="71" spans="1:8">
      <c r="A71" s="7" t="s">
        <v>60</v>
      </c>
      <c r="B71" s="20" t="s">
        <v>61</v>
      </c>
      <c r="C71" s="20"/>
      <c r="D71" s="3">
        <f>+D42</f>
        <v>41503352.219999999</v>
      </c>
      <c r="E71" s="3">
        <f t="shared" ref="E71:H71" si="5">+E42</f>
        <v>42333419.264399998</v>
      </c>
      <c r="F71" s="3">
        <f t="shared" si="5"/>
        <v>43180087.649687998</v>
      </c>
      <c r="G71" s="3">
        <f t="shared" si="5"/>
        <v>44043689.40268176</v>
      </c>
      <c r="H71" s="3">
        <f t="shared" si="5"/>
        <v>44924563.190735392</v>
      </c>
    </row>
    <row r="72" spans="1:8" ht="15.75">
      <c r="A72" s="10" t="s">
        <v>75</v>
      </c>
      <c r="B72" s="8" t="s">
        <v>115</v>
      </c>
      <c r="C72" s="20"/>
      <c r="D72" s="30">
        <f>D71*D70</f>
        <v>561653220.60413992</v>
      </c>
      <c r="E72" s="30">
        <f>E71*E70</f>
        <v>572886285.01622272</v>
      </c>
      <c r="F72" s="30">
        <f>F71*F70</f>
        <v>584344010.71654713</v>
      </c>
      <c r="G72" s="30">
        <f>G71*G70</f>
        <v>596030890.93087816</v>
      </c>
      <c r="H72" s="30">
        <f>H71*H70</f>
        <v>607951508.74949563</v>
      </c>
    </row>
    <row r="75" spans="1:8" ht="30">
      <c r="A75" s="6"/>
      <c r="B75" s="6"/>
      <c r="C75" s="6"/>
      <c r="D75" s="21">
        <v>2013</v>
      </c>
      <c r="E75" s="21">
        <v>2014</v>
      </c>
      <c r="F75" s="21" t="s">
        <v>121</v>
      </c>
      <c r="G75" s="21" t="s">
        <v>122</v>
      </c>
      <c r="H75" s="21" t="s">
        <v>15</v>
      </c>
    </row>
    <row r="76" spans="1:8">
      <c r="A76" s="7" t="s">
        <v>78</v>
      </c>
      <c r="B76" s="6" t="s">
        <v>110</v>
      </c>
      <c r="C76" s="4"/>
      <c r="D76" s="5"/>
      <c r="E76" s="3">
        <v>0</v>
      </c>
      <c r="F76" s="23"/>
      <c r="G76" s="54">
        <f>E76*D18</f>
        <v>0</v>
      </c>
      <c r="H76" s="23">
        <f>AVERAGE(F76:G76)</f>
        <v>0</v>
      </c>
    </row>
    <row r="77" spans="1:8">
      <c r="A77" s="7" t="s">
        <v>79</v>
      </c>
      <c r="B77" s="6" t="s">
        <v>111</v>
      </c>
      <c r="C77" s="4"/>
      <c r="D77" s="23"/>
      <c r="E77" s="23">
        <v>0</v>
      </c>
      <c r="F77" s="3"/>
      <c r="G77" s="6"/>
      <c r="H77" s="3">
        <f>AVERAGE(D77,E77)</f>
        <v>0</v>
      </c>
    </row>
    <row r="78" spans="1:8">
      <c r="A78" s="7" t="s">
        <v>80</v>
      </c>
      <c r="B78" s="6" t="s">
        <v>112</v>
      </c>
      <c r="C78" s="6"/>
      <c r="D78" s="6"/>
      <c r="E78" s="6"/>
      <c r="F78" s="6"/>
      <c r="G78" s="6"/>
      <c r="H78" s="34">
        <v>0</v>
      </c>
    </row>
    <row r="79" spans="1:8">
      <c r="A79" s="39"/>
      <c r="B79" s="19"/>
      <c r="C79" s="19"/>
      <c r="D79" s="19"/>
      <c r="E79" s="41"/>
      <c r="F79" s="19"/>
      <c r="G79" s="19"/>
      <c r="H79" s="19"/>
    </row>
    <row r="80" spans="1:8">
      <c r="A80" s="7" t="s">
        <v>22</v>
      </c>
      <c r="B80" s="2" t="s">
        <v>21</v>
      </c>
      <c r="C80" s="6"/>
      <c r="D80" s="42">
        <v>1</v>
      </c>
      <c r="E80" s="42">
        <v>2</v>
      </c>
      <c r="F80" s="42">
        <v>3</v>
      </c>
      <c r="G80" s="43">
        <v>4</v>
      </c>
      <c r="H80" s="43">
        <v>5</v>
      </c>
    </row>
    <row r="81" spans="1:10">
      <c r="A81" s="7" t="s">
        <v>80</v>
      </c>
      <c r="B81" s="6" t="s">
        <v>112</v>
      </c>
      <c r="C81" s="6"/>
      <c r="D81" s="34">
        <f>+H78</f>
        <v>0</v>
      </c>
      <c r="E81" s="34">
        <f>+D81</f>
        <v>0</v>
      </c>
      <c r="F81" s="34">
        <f>+E81</f>
        <v>0</v>
      </c>
      <c r="G81" s="34">
        <f>+F81</f>
        <v>0</v>
      </c>
      <c r="H81" s="34">
        <f>+G81</f>
        <v>0</v>
      </c>
    </row>
    <row r="82" spans="1:10">
      <c r="A82" s="7" t="s">
        <v>81</v>
      </c>
      <c r="B82" s="6" t="s">
        <v>113</v>
      </c>
      <c r="C82" s="20"/>
      <c r="D82" s="3">
        <v>0</v>
      </c>
      <c r="E82" s="3">
        <v>0</v>
      </c>
      <c r="F82" s="3">
        <v>0</v>
      </c>
      <c r="G82" s="3">
        <v>0</v>
      </c>
      <c r="H82" s="3">
        <v>0</v>
      </c>
    </row>
    <row r="83" spans="1:10" ht="15.75">
      <c r="A83" s="10" t="s">
        <v>82</v>
      </c>
      <c r="B83" s="8" t="s">
        <v>114</v>
      </c>
      <c r="C83" s="20"/>
      <c r="D83" s="30">
        <f>D82*D81</f>
        <v>0</v>
      </c>
      <c r="E83" s="30">
        <f>E82*E81</f>
        <v>0</v>
      </c>
      <c r="F83" s="30">
        <f>F82*F81</f>
        <v>0</v>
      </c>
      <c r="G83" s="30">
        <f>G82*G81</f>
        <v>0</v>
      </c>
      <c r="H83" s="30">
        <f>H82*H81</f>
        <v>0</v>
      </c>
    </row>
    <row r="85" spans="1:10">
      <c r="D85" s="67"/>
      <c r="E85" s="67"/>
      <c r="F85" s="67"/>
      <c r="G85" s="67"/>
      <c r="H85" s="67"/>
    </row>
    <row r="87" spans="1:10">
      <c r="A87" s="7" t="s">
        <v>22</v>
      </c>
      <c r="B87" s="2" t="s">
        <v>21</v>
      </c>
      <c r="C87" s="6"/>
      <c r="D87" s="42">
        <v>1</v>
      </c>
      <c r="E87" s="42">
        <v>2</v>
      </c>
      <c r="F87" s="42">
        <v>3</v>
      </c>
      <c r="G87" s="43">
        <v>4</v>
      </c>
      <c r="H87" s="43">
        <v>5</v>
      </c>
    </row>
    <row r="88" spans="1:10">
      <c r="A88" s="8" t="s">
        <v>71</v>
      </c>
      <c r="B88" s="20" t="s">
        <v>72</v>
      </c>
      <c r="C88" s="20"/>
      <c r="D88" s="23">
        <f>+D61</f>
        <v>566068956.35507989</v>
      </c>
      <c r="E88" s="23">
        <f>+E61</f>
        <v>577390335.48218155</v>
      </c>
      <c r="F88" s="23">
        <f>+F61</f>
        <v>588938142.19182503</v>
      </c>
      <c r="G88" s="23">
        <f>+G61</f>
        <v>600716905.03566158</v>
      </c>
      <c r="H88" s="23">
        <f>+H61</f>
        <v>612731243.13637483</v>
      </c>
    </row>
    <row r="89" spans="1:10">
      <c r="A89" s="7" t="s">
        <v>75</v>
      </c>
      <c r="B89" s="20" t="s">
        <v>100</v>
      </c>
      <c r="C89" s="20"/>
      <c r="D89" s="3">
        <f>+D72</f>
        <v>561653220.60413992</v>
      </c>
      <c r="E89" s="3">
        <f>+E72</f>
        <v>572886285.01622272</v>
      </c>
      <c r="F89" s="3">
        <f>+F72</f>
        <v>584344010.71654713</v>
      </c>
      <c r="G89" s="3">
        <f>+G72</f>
        <v>596030890.93087816</v>
      </c>
      <c r="H89" s="3">
        <f>+H72</f>
        <v>607951508.74949563</v>
      </c>
    </row>
    <row r="90" spans="1:10">
      <c r="A90" s="7" t="s">
        <v>82</v>
      </c>
      <c r="B90" s="20" t="s">
        <v>83</v>
      </c>
      <c r="C90" s="20"/>
      <c r="D90" s="3">
        <f>+D83</f>
        <v>0</v>
      </c>
      <c r="E90" s="3">
        <f>+E83</f>
        <v>0</v>
      </c>
      <c r="F90" s="3">
        <f>+F83</f>
        <v>0</v>
      </c>
      <c r="G90" s="3">
        <f>+G83</f>
        <v>0</v>
      </c>
      <c r="H90" s="3">
        <f>+H83</f>
        <v>0</v>
      </c>
    </row>
    <row r="91" spans="1:10" ht="15.75">
      <c r="A91" s="9" t="s">
        <v>84</v>
      </c>
      <c r="B91" s="8" t="s">
        <v>85</v>
      </c>
      <c r="C91" s="4"/>
      <c r="D91" s="29">
        <f>SUM(D88:D90)</f>
        <v>1127722176.9592199</v>
      </c>
      <c r="E91" s="29">
        <f>SUM(E88:E90)</f>
        <v>1150276620.4984043</v>
      </c>
      <c r="F91" s="29">
        <f>SUM(F88:F90)</f>
        <v>1173282152.9083722</v>
      </c>
      <c r="G91" s="29">
        <f>SUM(G88:G90)</f>
        <v>1196747795.9665399</v>
      </c>
      <c r="H91" s="29">
        <f>SUM(H88:H90)</f>
        <v>1220682751.8858705</v>
      </c>
    </row>
    <row r="93" spans="1:10" ht="18.75">
      <c r="A93" s="61" t="s">
        <v>88</v>
      </c>
      <c r="B93" s="62"/>
      <c r="C93" s="62"/>
      <c r="D93" s="62"/>
      <c r="E93" s="62"/>
      <c r="F93" s="62"/>
      <c r="G93" s="62"/>
      <c r="H93" s="62"/>
      <c r="I93" s="62"/>
      <c r="J93" s="63"/>
    </row>
    <row r="95" spans="1:10">
      <c r="A95" s="7" t="s">
        <v>22</v>
      </c>
      <c r="B95" s="2" t="s">
        <v>21</v>
      </c>
      <c r="C95" s="2"/>
      <c r="D95" s="33">
        <v>1</v>
      </c>
      <c r="E95" s="33">
        <v>2</v>
      </c>
      <c r="F95" s="33">
        <v>3</v>
      </c>
      <c r="G95" s="33">
        <v>4</v>
      </c>
      <c r="H95" s="33">
        <v>5</v>
      </c>
      <c r="I95" s="42" t="s">
        <v>30</v>
      </c>
    </row>
    <row r="96" spans="1:10" ht="18.75">
      <c r="A96" s="11" t="s">
        <v>50</v>
      </c>
      <c r="B96" s="20" t="s">
        <v>120</v>
      </c>
      <c r="C96" s="4"/>
      <c r="D96" s="3">
        <f>+D31</f>
        <v>15393072350.400246</v>
      </c>
      <c r="E96" s="3">
        <f>+E31</f>
        <v>16574655262.556608</v>
      </c>
      <c r="F96" s="3">
        <f>+F31</f>
        <v>17228239236.675285</v>
      </c>
      <c r="G96" s="3">
        <f>+G31</f>
        <v>17382156256.589458</v>
      </c>
      <c r="H96" s="3">
        <f>+H31</f>
        <v>17536278529.669479</v>
      </c>
      <c r="I96" s="6"/>
    </row>
    <row r="97" spans="1:10" ht="18.75">
      <c r="A97" s="11" t="s">
        <v>84</v>
      </c>
      <c r="B97" s="4" t="s">
        <v>85</v>
      </c>
      <c r="C97" s="4"/>
      <c r="D97" s="36">
        <f>+D91</f>
        <v>1127722176.9592199</v>
      </c>
      <c r="E97" s="36">
        <f>+E91</f>
        <v>1150276620.4984043</v>
      </c>
      <c r="F97" s="36">
        <f>+F91</f>
        <v>1173282152.9083722</v>
      </c>
      <c r="G97" s="36">
        <f>+G91</f>
        <v>1196747795.9665399</v>
      </c>
      <c r="H97" s="36">
        <f>+H91</f>
        <v>1220682751.8858705</v>
      </c>
      <c r="I97" s="6"/>
    </row>
    <row r="98" spans="1:10" ht="18.75">
      <c r="A98" s="49" t="s">
        <v>27</v>
      </c>
      <c r="B98" s="50" t="s">
        <v>25</v>
      </c>
      <c r="C98" s="4"/>
      <c r="D98" s="35">
        <v>2.6100000000000002E-2</v>
      </c>
      <c r="E98" s="35">
        <v>2.6100000000000002E-2</v>
      </c>
      <c r="F98" s="35">
        <v>2.6100000000000002E-2</v>
      </c>
      <c r="G98" s="35">
        <v>2.6100000000000002E-2</v>
      </c>
      <c r="H98" s="35">
        <v>2.6100000000000002E-2</v>
      </c>
      <c r="I98" s="6"/>
    </row>
    <row r="99" spans="1:10" ht="18.75">
      <c r="A99" s="11" t="s">
        <v>89</v>
      </c>
      <c r="B99" s="20" t="s">
        <v>90</v>
      </c>
      <c r="C99" s="5">
        <v>535456151</v>
      </c>
      <c r="D99" s="3">
        <f>C99+(C99*5%)</f>
        <v>562228958.54999995</v>
      </c>
      <c r="E99" s="3">
        <f t="shared" ref="E99:H99" si="6">D99+(D99*5%)</f>
        <v>590340406.47749996</v>
      </c>
      <c r="F99" s="3">
        <f t="shared" si="6"/>
        <v>619857426.80137491</v>
      </c>
      <c r="G99" s="3">
        <f t="shared" si="6"/>
        <v>650850298.14144361</v>
      </c>
      <c r="H99" s="3">
        <f t="shared" si="6"/>
        <v>683392813.0485158</v>
      </c>
      <c r="I99" s="6"/>
      <c r="J99" s="16"/>
    </row>
    <row r="100" spans="1:10" ht="18.75">
      <c r="A100" s="11" t="s">
        <v>92</v>
      </c>
      <c r="B100" s="20" t="s">
        <v>91</v>
      </c>
      <c r="C100" s="4"/>
      <c r="D100" s="30">
        <f>((D96+D97)*(1+D98))+D99</f>
        <v>17514216223.073547</v>
      </c>
      <c r="E100" s="30">
        <f>((E96+E97)*(1+E98))+E99</f>
        <v>18777893011.680248</v>
      </c>
      <c r="F100" s="30">
        <f>((F96+F97)*(1+F98))+F99</f>
        <v>19501658524.653168</v>
      </c>
      <c r="G100" s="30">
        <f>((G96+G97)*(1+G98))+G99</f>
        <v>19714663746.469158</v>
      </c>
      <c r="H100" s="30">
        <f>((H96+H97)*(1+H98))+H99</f>
        <v>19929910784.05246</v>
      </c>
      <c r="I100" s="27">
        <f>SUM(D100:H100)</f>
        <v>95438342289.928589</v>
      </c>
    </row>
    <row r="101" spans="1:10" ht="18.75" hidden="1">
      <c r="A101" s="11"/>
      <c r="B101" s="20"/>
      <c r="C101" s="4"/>
      <c r="D101" s="3"/>
      <c r="E101" s="3"/>
      <c r="F101" s="3"/>
      <c r="G101" s="3"/>
      <c r="H101" s="3"/>
      <c r="I101" s="6"/>
    </row>
    <row r="102" spans="1:10" ht="18.75">
      <c r="A102" s="11" t="s">
        <v>118</v>
      </c>
      <c r="B102" s="2" t="s">
        <v>119</v>
      </c>
      <c r="C102" s="4"/>
      <c r="D102" s="30">
        <v>34596718.967032552</v>
      </c>
      <c r="E102" s="30">
        <v>35651111.520252764</v>
      </c>
      <c r="F102" s="30">
        <v>32978934.141398873</v>
      </c>
      <c r="G102" s="30">
        <v>34554132.400035679</v>
      </c>
      <c r="H102" s="30">
        <v>34720692.120903134</v>
      </c>
      <c r="I102" s="27">
        <f>SUM(D102:H102)</f>
        <v>172501589.14962301</v>
      </c>
    </row>
    <row r="103" spans="1:10" ht="18.75">
      <c r="A103" s="11" t="s">
        <v>93</v>
      </c>
      <c r="B103" s="20" t="s">
        <v>94</v>
      </c>
      <c r="C103" s="6"/>
      <c r="D103" s="6"/>
      <c r="E103" s="6"/>
      <c r="F103" s="6"/>
      <c r="G103" s="6"/>
      <c r="H103" s="6"/>
      <c r="I103" s="14">
        <f>I100/I102</f>
        <v>553.26065551284898</v>
      </c>
    </row>
    <row r="105" spans="1:10">
      <c r="D105" s="67"/>
      <c r="E105" s="67"/>
      <c r="F105" s="67"/>
      <c r="G105" s="67"/>
      <c r="H105" s="67"/>
      <c r="I105" s="15"/>
    </row>
  </sheetData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L101"/>
  <sheetViews>
    <sheetView workbookViewId="0"/>
  </sheetViews>
  <sheetFormatPr baseColWidth="10" defaultRowHeight="15"/>
  <cols>
    <col min="1" max="1" width="15" customWidth="1"/>
    <col min="2" max="2" width="74.7109375" bestFit="1" customWidth="1"/>
    <col min="3" max="3" width="12.5703125" bestFit="1" customWidth="1"/>
    <col min="4" max="6" width="15.140625" bestFit="1" customWidth="1"/>
    <col min="7" max="7" width="16.42578125" customWidth="1"/>
    <col min="8" max="8" width="19.5703125" bestFit="1" customWidth="1"/>
    <col min="9" max="9" width="21" bestFit="1" customWidth="1"/>
    <col min="10" max="10" width="22.5703125" bestFit="1" customWidth="1"/>
    <col min="11" max="11" width="12.5703125" bestFit="1" customWidth="1"/>
  </cols>
  <sheetData>
    <row r="1" spans="1:10" ht="18.75">
      <c r="A1" s="61" t="s">
        <v>86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30">
      <c r="A2" s="8" t="s">
        <v>16</v>
      </c>
      <c r="B2" s="8" t="s">
        <v>17</v>
      </c>
      <c r="C2" s="8"/>
      <c r="D2" s="21"/>
      <c r="E2" s="21">
        <v>2014</v>
      </c>
      <c r="F2" s="21"/>
      <c r="G2" s="21"/>
      <c r="H2" s="21" t="s">
        <v>122</v>
      </c>
    </row>
    <row r="3" spans="1:10">
      <c r="A3" s="2" t="s">
        <v>2</v>
      </c>
      <c r="B3" s="2" t="s">
        <v>34</v>
      </c>
      <c r="C3" s="4"/>
      <c r="D3" s="3"/>
      <c r="E3" s="3">
        <v>1667397361</v>
      </c>
      <c r="F3" s="36"/>
      <c r="G3" s="3"/>
      <c r="H3" s="36">
        <f>E3*$D$16</f>
        <v>1685071773.0265999</v>
      </c>
    </row>
    <row r="4" spans="1:10">
      <c r="A4" s="2" t="s">
        <v>4</v>
      </c>
      <c r="B4" s="2" t="s">
        <v>7</v>
      </c>
      <c r="C4" s="4"/>
      <c r="D4" s="3"/>
      <c r="E4" s="3">
        <v>224960476</v>
      </c>
      <c r="F4" s="36"/>
      <c r="G4" s="3"/>
      <c r="H4" s="36">
        <f t="shared" ref="H4:H15" si="0">E4*$D$16</f>
        <v>227345057.0456</v>
      </c>
    </row>
    <row r="5" spans="1:10">
      <c r="A5" s="2" t="s">
        <v>5</v>
      </c>
      <c r="B5" s="2" t="s">
        <v>35</v>
      </c>
      <c r="C5" s="4"/>
      <c r="D5" s="3"/>
      <c r="E5" s="3">
        <v>54587489</v>
      </c>
      <c r="F5" s="36"/>
      <c r="G5" s="3"/>
      <c r="H5" s="36">
        <f t="shared" si="0"/>
        <v>55166116.383399993</v>
      </c>
    </row>
    <row r="6" spans="1:10">
      <c r="A6" s="2" t="s">
        <v>6</v>
      </c>
      <c r="B6" s="2" t="s">
        <v>36</v>
      </c>
      <c r="C6" s="4"/>
      <c r="D6" s="3"/>
      <c r="E6" s="3">
        <v>144179277</v>
      </c>
      <c r="F6" s="36"/>
      <c r="G6" s="3"/>
      <c r="H6" s="36">
        <f t="shared" si="0"/>
        <v>145707577.3362</v>
      </c>
    </row>
    <row r="7" spans="1:10">
      <c r="A7" s="2" t="s">
        <v>9</v>
      </c>
      <c r="B7" s="2" t="s">
        <v>37</v>
      </c>
      <c r="C7" s="4"/>
      <c r="D7" s="3"/>
      <c r="E7" s="3">
        <v>1313874519</v>
      </c>
      <c r="F7" s="36"/>
      <c r="G7" s="3"/>
      <c r="H7" s="36">
        <f t="shared" si="0"/>
        <v>1327801588.9013999</v>
      </c>
    </row>
    <row r="8" spans="1:10">
      <c r="A8" s="2" t="s">
        <v>10</v>
      </c>
      <c r="B8" s="2" t="s">
        <v>38</v>
      </c>
      <c r="C8" s="4"/>
      <c r="D8" s="3"/>
      <c r="E8" s="3">
        <v>191793790</v>
      </c>
      <c r="F8" s="36"/>
      <c r="G8" s="3"/>
      <c r="H8" s="36">
        <f t="shared" si="0"/>
        <v>193826804.17399999</v>
      </c>
    </row>
    <row r="9" spans="1:10">
      <c r="A9" s="2" t="s">
        <v>11</v>
      </c>
      <c r="B9" s="2" t="s">
        <v>39</v>
      </c>
      <c r="C9" s="4"/>
      <c r="D9" s="3"/>
      <c r="E9" s="3">
        <v>240954479</v>
      </c>
      <c r="F9" s="36"/>
      <c r="G9" s="3"/>
      <c r="H9" s="36">
        <f t="shared" si="0"/>
        <v>243508596.47739998</v>
      </c>
    </row>
    <row r="10" spans="1:10">
      <c r="A10" s="2" t="s">
        <v>13</v>
      </c>
      <c r="B10" s="2" t="s">
        <v>40</v>
      </c>
      <c r="C10" s="4"/>
      <c r="D10" s="3"/>
      <c r="E10" s="3">
        <v>112460184</v>
      </c>
      <c r="F10" s="36"/>
      <c r="G10" s="3"/>
      <c r="H10" s="36">
        <f t="shared" si="0"/>
        <v>113652261.95039999</v>
      </c>
    </row>
    <row r="11" spans="1:10">
      <c r="A11" s="2" t="s">
        <v>41</v>
      </c>
      <c r="B11" s="2" t="s">
        <v>42</v>
      </c>
      <c r="C11" s="4"/>
      <c r="D11" s="3"/>
      <c r="E11" s="3">
        <v>448292798</v>
      </c>
      <c r="F11" s="36"/>
      <c r="G11" s="3"/>
      <c r="H11" s="36">
        <f t="shared" si="0"/>
        <v>453044701.65879995</v>
      </c>
    </row>
    <row r="12" spans="1:10">
      <c r="A12" s="2" t="s">
        <v>43</v>
      </c>
      <c r="B12" s="2" t="s">
        <v>44</v>
      </c>
      <c r="C12" s="4"/>
      <c r="D12" s="3"/>
      <c r="E12" s="3">
        <v>56454125</v>
      </c>
      <c r="F12" s="36"/>
      <c r="G12" s="3"/>
      <c r="H12" s="36">
        <f t="shared" si="0"/>
        <v>57052538.724999994</v>
      </c>
    </row>
    <row r="13" spans="1:10">
      <c r="A13" s="2" t="s">
        <v>45</v>
      </c>
      <c r="B13" s="2" t="s">
        <v>46</v>
      </c>
      <c r="C13" s="4"/>
      <c r="D13" s="3"/>
      <c r="E13" s="3">
        <v>5346840</v>
      </c>
      <c r="F13" s="36"/>
      <c r="G13" s="3"/>
      <c r="H13" s="36">
        <f t="shared" si="0"/>
        <v>5403516.5039999997</v>
      </c>
    </row>
    <row r="14" spans="1:10">
      <c r="A14" s="2" t="s">
        <v>125</v>
      </c>
      <c r="B14" s="2" t="s">
        <v>126</v>
      </c>
      <c r="C14" s="4"/>
      <c r="D14" s="3"/>
      <c r="E14" s="3">
        <v>144759181</v>
      </c>
      <c r="F14" s="36"/>
      <c r="G14" s="3"/>
      <c r="H14" s="36">
        <f t="shared" si="0"/>
        <v>146293628.3186</v>
      </c>
    </row>
    <row r="15" spans="1:10" ht="18.75">
      <c r="A15" s="7" t="s">
        <v>99</v>
      </c>
      <c r="B15" s="7" t="s">
        <v>105</v>
      </c>
      <c r="C15" s="4"/>
      <c r="D15" s="30"/>
      <c r="E15" s="30">
        <f>SUM(E3:E14)</f>
        <v>4605060519</v>
      </c>
      <c r="F15" s="36"/>
      <c r="G15" s="30"/>
      <c r="H15" s="27">
        <f t="shared" si="0"/>
        <v>4653874160.5014</v>
      </c>
    </row>
    <row r="16" spans="1:10">
      <c r="A16" s="1"/>
      <c r="B16" s="22" t="s">
        <v>124</v>
      </c>
      <c r="C16" s="20"/>
      <c r="D16" s="58">
        <v>1.0105999999999999</v>
      </c>
      <c r="E16" s="52"/>
      <c r="F16" s="1"/>
      <c r="G16" s="1"/>
      <c r="H16" s="1"/>
    </row>
    <row r="17" spans="1:12">
      <c r="A17" s="1"/>
      <c r="B17" s="1"/>
      <c r="C17" s="1"/>
      <c r="D17" s="1"/>
      <c r="E17" s="1"/>
      <c r="F17" s="1"/>
      <c r="G17" s="1"/>
      <c r="H17" s="1"/>
    </row>
    <row r="18" spans="1:12">
      <c r="A18" s="8" t="s">
        <v>106</v>
      </c>
      <c r="B18" s="4" t="s">
        <v>107</v>
      </c>
      <c r="C18" s="4"/>
      <c r="D18" s="5"/>
      <c r="E18" s="5"/>
      <c r="F18" s="4"/>
      <c r="G18" s="6"/>
      <c r="H18" s="24">
        <v>39700</v>
      </c>
    </row>
    <row r="19" spans="1:12">
      <c r="A19" s="1"/>
      <c r="B19" s="1"/>
      <c r="C19" s="1"/>
      <c r="D19" s="1"/>
      <c r="E19" s="1"/>
      <c r="F19" s="1"/>
      <c r="G19" s="1"/>
      <c r="H19" s="1"/>
    </row>
    <row r="20" spans="1:12">
      <c r="A20" s="1"/>
      <c r="B20" s="1"/>
      <c r="C20" s="1"/>
      <c r="D20" s="1"/>
      <c r="E20" s="1"/>
      <c r="F20" s="1"/>
      <c r="G20" s="1"/>
      <c r="H20" s="1"/>
    </row>
    <row r="21" spans="1:12" ht="18.75">
      <c r="A21" s="55" t="s">
        <v>47</v>
      </c>
      <c r="B21" s="48" t="s">
        <v>49</v>
      </c>
      <c r="C21" s="6"/>
      <c r="D21" s="6"/>
      <c r="E21" s="6"/>
      <c r="F21" s="6"/>
      <c r="G21" s="28"/>
      <c r="H21" s="27">
        <v>10654</v>
      </c>
    </row>
    <row r="24" spans="1:12">
      <c r="A24" s="7" t="s">
        <v>22</v>
      </c>
      <c r="B24" s="2" t="s">
        <v>21</v>
      </c>
      <c r="C24" s="42">
        <v>0</v>
      </c>
      <c r="D24" s="33">
        <v>1</v>
      </c>
      <c r="E24" s="33">
        <v>2</v>
      </c>
      <c r="F24" s="33">
        <v>3</v>
      </c>
      <c r="G24" s="33">
        <v>4</v>
      </c>
      <c r="H24" s="33">
        <v>5</v>
      </c>
      <c r="J24" s="44"/>
    </row>
    <row r="25" spans="1:12" ht="18.75">
      <c r="A25" s="12" t="s">
        <v>48</v>
      </c>
      <c r="B25" s="6" t="s">
        <v>117</v>
      </c>
      <c r="C25" s="3">
        <f>H15/(H21*12)</f>
        <v>36401.618801243661</v>
      </c>
      <c r="D25" s="3">
        <f>C25-(($C$25-$H$21)/5)</f>
        <v>31252.095040994929</v>
      </c>
      <c r="E25" s="3">
        <f>D25-(($C$25-$H$21)/5)</f>
        <v>26102.571280746197</v>
      </c>
      <c r="F25" s="3">
        <f>E25-(($C$25-$H$21)/5)</f>
        <v>20953.047520497465</v>
      </c>
      <c r="G25" s="3">
        <f>F25-(($C$25-$H$21)/5)</f>
        <v>15803.523760248732</v>
      </c>
      <c r="H25" s="3">
        <f>G25-(($C$25-$H$21)/5)</f>
        <v>10654</v>
      </c>
      <c r="J25" s="19"/>
    </row>
    <row r="26" spans="1:12" ht="18.75">
      <c r="A26" s="12" t="s">
        <v>23</v>
      </c>
      <c r="B26" s="6" t="s">
        <v>24</v>
      </c>
      <c r="C26" s="6"/>
      <c r="D26" s="23">
        <v>40769</v>
      </c>
      <c r="E26" s="23">
        <v>42313.337500000001</v>
      </c>
      <c r="F26" s="23">
        <v>43870.761937499999</v>
      </c>
      <c r="G26" s="23">
        <v>45442.123963437502</v>
      </c>
      <c r="H26" s="23">
        <v>47029.421262814532</v>
      </c>
      <c r="J26" s="19"/>
    </row>
    <row r="27" spans="1:12" ht="18.75">
      <c r="A27" s="11" t="s">
        <v>50</v>
      </c>
      <c r="B27" s="8" t="s">
        <v>51</v>
      </c>
      <c r="C27" s="4"/>
      <c r="D27" s="30">
        <f>D25*D26*12</f>
        <v>15289399952.715866</v>
      </c>
      <c r="E27" s="30">
        <f>E25*E26*12</f>
        <v>13253842898.640251</v>
      </c>
      <c r="F27" s="30">
        <f>F25*F26*12</f>
        <v>11030713915.642427</v>
      </c>
      <c r="G27" s="30">
        <f>G25*G26*12</f>
        <v>8617748229.2682343</v>
      </c>
      <c r="H27" s="30">
        <f>H25*H26*12</f>
        <v>6012617449.6083126</v>
      </c>
      <c r="J27" s="19"/>
    </row>
    <row r="28" spans="1:12" ht="18.75">
      <c r="A28" s="31"/>
      <c r="B28" s="17"/>
      <c r="C28" s="19"/>
      <c r="D28" s="41"/>
      <c r="E28" s="41"/>
      <c r="F28" s="41"/>
      <c r="G28" s="41"/>
      <c r="H28" s="41"/>
      <c r="I28" s="19"/>
      <c r="J28" s="38"/>
    </row>
    <row r="29" spans="1:12" ht="18.75">
      <c r="A29" s="61" t="s">
        <v>87</v>
      </c>
      <c r="B29" s="62"/>
      <c r="C29" s="62"/>
      <c r="D29" s="62"/>
      <c r="E29" s="62"/>
      <c r="F29" s="62"/>
      <c r="G29" s="62"/>
      <c r="H29" s="62"/>
      <c r="I29" s="62"/>
      <c r="J29" s="63"/>
    </row>
    <row r="31" spans="1:12" ht="30">
      <c r="A31" s="6"/>
      <c r="B31" s="6"/>
      <c r="C31" s="6"/>
      <c r="D31" s="21">
        <v>2013</v>
      </c>
      <c r="E31" s="21">
        <v>2014</v>
      </c>
      <c r="F31" s="21" t="s">
        <v>121</v>
      </c>
      <c r="G31" s="21" t="s">
        <v>122</v>
      </c>
      <c r="H31" s="21" t="s">
        <v>15</v>
      </c>
      <c r="J31" s="19"/>
      <c r="K31" s="19"/>
      <c r="L31" s="19"/>
    </row>
    <row r="32" spans="1:12">
      <c r="A32" s="7" t="s">
        <v>54</v>
      </c>
      <c r="B32" s="6" t="s">
        <v>55</v>
      </c>
      <c r="C32" s="4"/>
      <c r="D32" s="5"/>
      <c r="E32" s="3">
        <v>3545158</v>
      </c>
      <c r="F32" s="23"/>
      <c r="G32" s="54">
        <f>E32*D16</f>
        <v>3582736.6747999997</v>
      </c>
      <c r="H32" s="23">
        <f>AVERAGE(F32:G32)</f>
        <v>3582736.6747999997</v>
      </c>
      <c r="J32" s="32"/>
      <c r="K32" s="41"/>
      <c r="L32" s="19"/>
    </row>
    <row r="33" spans="1:12">
      <c r="A33" s="7" t="s">
        <v>57</v>
      </c>
      <c r="B33" s="6" t="s">
        <v>58</v>
      </c>
      <c r="C33" s="4"/>
      <c r="D33" s="23"/>
      <c r="E33" s="23">
        <v>20354142</v>
      </c>
      <c r="F33" s="3"/>
      <c r="G33" s="6"/>
      <c r="H33" s="3">
        <f>+E33</f>
        <v>20354142</v>
      </c>
      <c r="I33" s="15"/>
      <c r="J33" s="46"/>
      <c r="K33" s="46"/>
      <c r="L33" s="19"/>
    </row>
    <row r="34" spans="1:12">
      <c r="A34" s="7" t="s">
        <v>52</v>
      </c>
      <c r="B34" s="6" t="s">
        <v>59</v>
      </c>
      <c r="C34" s="6"/>
      <c r="D34" s="6"/>
      <c r="E34" s="6"/>
      <c r="F34" s="6"/>
      <c r="G34" s="6"/>
      <c r="H34" s="66">
        <f>H32/H33</f>
        <v>0.17602002947606438</v>
      </c>
      <c r="J34" s="46"/>
      <c r="K34" s="46"/>
      <c r="L34" s="19"/>
    </row>
    <row r="35" spans="1:12">
      <c r="A35" s="39"/>
      <c r="B35" s="19"/>
      <c r="C35" s="19"/>
      <c r="D35" s="19"/>
      <c r="E35" s="19"/>
      <c r="F35" s="19"/>
      <c r="G35" s="19"/>
      <c r="H35" s="19"/>
    </row>
    <row r="36" spans="1:12">
      <c r="A36" s="7" t="s">
        <v>22</v>
      </c>
      <c r="B36" s="2" t="s">
        <v>21</v>
      </c>
      <c r="C36" s="6"/>
      <c r="D36" s="42">
        <v>1</v>
      </c>
      <c r="E36" s="42">
        <v>2</v>
      </c>
      <c r="F36" s="42">
        <v>3</v>
      </c>
      <c r="G36" s="43">
        <v>4</v>
      </c>
      <c r="H36" s="43">
        <v>5</v>
      </c>
    </row>
    <row r="37" spans="1:12">
      <c r="A37" s="7" t="s">
        <v>52</v>
      </c>
      <c r="B37" s="6" t="s">
        <v>59</v>
      </c>
      <c r="C37" s="6"/>
      <c r="D37" s="34">
        <f>+H34</f>
        <v>0.17602002947606438</v>
      </c>
      <c r="E37" s="34">
        <f>+D37</f>
        <v>0.17602002947606438</v>
      </c>
      <c r="F37" s="34">
        <f>+E37</f>
        <v>0.17602002947606438</v>
      </c>
      <c r="G37" s="34">
        <f>+F37</f>
        <v>0.17602002947606438</v>
      </c>
      <c r="H37" s="34">
        <f>+G37</f>
        <v>0.17602002947606438</v>
      </c>
    </row>
    <row r="38" spans="1:12">
      <c r="A38" s="7" t="s">
        <v>60</v>
      </c>
      <c r="B38" s="20" t="s">
        <v>61</v>
      </c>
      <c r="C38" s="20"/>
      <c r="D38" s="3">
        <f>E33+(E33*0.02)</f>
        <v>20761224.84</v>
      </c>
      <c r="E38" s="3">
        <f>D38+(D38*0.02)</f>
        <v>21176449.336800002</v>
      </c>
      <c r="F38" s="3">
        <f t="shared" ref="F38:H38" si="1">E38+(E38*0.02)</f>
        <v>21599978.323536001</v>
      </c>
      <c r="G38" s="3">
        <f t="shared" si="1"/>
        <v>22031977.890006721</v>
      </c>
      <c r="H38" s="3">
        <f t="shared" si="1"/>
        <v>22472617.447806854</v>
      </c>
    </row>
    <row r="39" spans="1:12">
      <c r="A39" s="7" t="s">
        <v>62</v>
      </c>
      <c r="B39" s="8" t="s">
        <v>63</v>
      </c>
      <c r="C39" s="20"/>
      <c r="D39" s="47">
        <f>D38*D37</f>
        <v>3654391.4082959997</v>
      </c>
      <c r="E39" s="30">
        <f>E38*E37</f>
        <v>3727479.2364619202</v>
      </c>
      <c r="F39" s="30">
        <f>F38*F37</f>
        <v>3802028.8211911586</v>
      </c>
      <c r="G39" s="30">
        <f>G38*G37</f>
        <v>3878069.3976149815</v>
      </c>
      <c r="H39" s="30">
        <f>H38*H37</f>
        <v>3955630.7855672808</v>
      </c>
    </row>
    <row r="40" spans="1:12">
      <c r="A40" s="39"/>
      <c r="B40" s="17"/>
      <c r="C40" s="17"/>
      <c r="D40" s="41"/>
      <c r="E40" s="41"/>
      <c r="F40" s="45"/>
      <c r="G40" s="41"/>
      <c r="H40" s="41"/>
      <c r="I40" s="41"/>
    </row>
    <row r="41" spans="1:12">
      <c r="A41" s="39"/>
      <c r="B41" s="17"/>
      <c r="C41" s="17"/>
      <c r="D41" s="41"/>
      <c r="E41" s="41"/>
      <c r="F41" s="45"/>
      <c r="G41" s="41"/>
      <c r="H41" s="41"/>
      <c r="I41" s="41"/>
    </row>
    <row r="43" spans="1:12" ht="30">
      <c r="A43" s="6"/>
      <c r="B43" s="6"/>
      <c r="C43" s="6"/>
      <c r="D43" s="21">
        <v>2013</v>
      </c>
      <c r="E43" s="21">
        <v>2014</v>
      </c>
      <c r="F43" s="21" t="s">
        <v>121</v>
      </c>
      <c r="G43" s="21" t="s">
        <v>122</v>
      </c>
      <c r="H43" s="21" t="s">
        <v>15</v>
      </c>
    </row>
    <row r="44" spans="1:12">
      <c r="A44" s="7" t="s">
        <v>53</v>
      </c>
      <c r="B44" s="6" t="s">
        <v>56</v>
      </c>
      <c r="C44" s="4"/>
      <c r="D44" s="3"/>
      <c r="E44" s="3">
        <v>4484451</v>
      </c>
      <c r="F44" s="23"/>
      <c r="G44" s="3">
        <f>E44*D16</f>
        <v>4531986.1805999996</v>
      </c>
      <c r="H44" s="23">
        <f>AVERAGE(F44:G44)</f>
        <v>4531986.1805999996</v>
      </c>
    </row>
    <row r="45" spans="1:12">
      <c r="A45" s="7" t="s">
        <v>67</v>
      </c>
      <c r="B45" s="6" t="s">
        <v>68</v>
      </c>
      <c r="C45" s="4"/>
      <c r="D45" s="3"/>
      <c r="E45" s="3">
        <f>+E33</f>
        <v>20354142</v>
      </c>
      <c r="F45" s="3"/>
      <c r="H45" s="3">
        <f>AVERAGE(D45,E45)</f>
        <v>20354142</v>
      </c>
    </row>
    <row r="46" spans="1:12">
      <c r="A46" s="7" t="s">
        <v>64</v>
      </c>
      <c r="B46" s="6" t="s">
        <v>66</v>
      </c>
      <c r="C46" s="6"/>
      <c r="D46" s="6"/>
      <c r="E46" s="6"/>
      <c r="F46" s="6"/>
      <c r="G46" s="6"/>
      <c r="H46" s="40">
        <f>H44/H45</f>
        <v>0.22265670449778721</v>
      </c>
    </row>
    <row r="47" spans="1:12">
      <c r="A47" s="39"/>
      <c r="B47" s="19"/>
      <c r="C47" s="19"/>
      <c r="D47" s="19"/>
      <c r="E47" s="41"/>
      <c r="F47" s="19"/>
      <c r="G47" s="19"/>
      <c r="H47" s="19"/>
    </row>
    <row r="48" spans="1:12">
      <c r="A48" s="7" t="s">
        <v>22</v>
      </c>
      <c r="B48" s="2" t="s">
        <v>21</v>
      </c>
      <c r="C48" s="6"/>
      <c r="D48" s="42">
        <v>1</v>
      </c>
      <c r="E48" s="42">
        <v>2</v>
      </c>
      <c r="F48" s="42">
        <v>3</v>
      </c>
      <c r="G48" s="43">
        <v>4</v>
      </c>
      <c r="H48" s="43">
        <v>5</v>
      </c>
    </row>
    <row r="49" spans="1:8">
      <c r="A49" s="7" t="s">
        <v>64</v>
      </c>
      <c r="B49" s="6" t="s">
        <v>66</v>
      </c>
      <c r="C49" s="6"/>
      <c r="D49" s="34">
        <f>+H46</f>
        <v>0.22265670449778721</v>
      </c>
      <c r="E49" s="34">
        <f>+D49</f>
        <v>0.22265670449778721</v>
      </c>
      <c r="F49" s="34">
        <f>+E49</f>
        <v>0.22265670449778721</v>
      </c>
      <c r="G49" s="34">
        <f>+F49</f>
        <v>0.22265670449778721</v>
      </c>
      <c r="H49" s="34">
        <f>+G49</f>
        <v>0.22265670449778721</v>
      </c>
    </row>
    <row r="50" spans="1:8">
      <c r="A50" s="7" t="s">
        <v>69</v>
      </c>
      <c r="B50" s="20" t="s">
        <v>70</v>
      </c>
      <c r="C50" s="20"/>
      <c r="D50" s="3">
        <f>+D38</f>
        <v>20761224.84</v>
      </c>
      <c r="E50" s="3">
        <f t="shared" ref="E50:H50" si="2">+E38</f>
        <v>21176449.336800002</v>
      </c>
      <c r="F50" s="3">
        <f t="shared" si="2"/>
        <v>21599978.323536001</v>
      </c>
      <c r="G50" s="3">
        <f t="shared" si="2"/>
        <v>22031977.890006721</v>
      </c>
      <c r="H50" s="3">
        <f t="shared" si="2"/>
        <v>22472617.447806854</v>
      </c>
    </row>
    <row r="51" spans="1:8">
      <c r="A51" s="7" t="s">
        <v>65</v>
      </c>
      <c r="B51" s="8" t="s">
        <v>77</v>
      </c>
      <c r="C51" s="20"/>
      <c r="D51" s="30">
        <f>D50*D49</f>
        <v>4622625.9042119998</v>
      </c>
      <c r="E51" s="30">
        <f>E50*E49</f>
        <v>4715078.42229624</v>
      </c>
      <c r="F51" s="30">
        <f>F50*F49</f>
        <v>4809379.9907421647</v>
      </c>
      <c r="G51" s="30">
        <f>G50*G49</f>
        <v>4905567.5905570081</v>
      </c>
      <c r="H51" s="30">
        <f>H50*H49</f>
        <v>5003678.9423681479</v>
      </c>
    </row>
    <row r="52" spans="1:8">
      <c r="D52" s="67"/>
      <c r="E52" s="67"/>
      <c r="F52" s="67"/>
      <c r="G52" s="67"/>
      <c r="H52" s="67"/>
    </row>
    <row r="53" spans="1:8">
      <c r="D53" s="15"/>
      <c r="E53" s="15"/>
      <c r="F53" s="15"/>
    </row>
    <row r="54" spans="1:8">
      <c r="A54" s="7" t="s">
        <v>22</v>
      </c>
      <c r="B54" s="2" t="s">
        <v>21</v>
      </c>
      <c r="C54" s="6"/>
      <c r="D54" s="42">
        <v>1</v>
      </c>
      <c r="E54" s="42">
        <v>2</v>
      </c>
      <c r="F54" s="42">
        <v>3</v>
      </c>
      <c r="G54" s="43">
        <v>4</v>
      </c>
      <c r="H54" s="43">
        <v>5</v>
      </c>
    </row>
    <row r="55" spans="1:8">
      <c r="A55" s="7" t="s">
        <v>62</v>
      </c>
      <c r="B55" s="20" t="s">
        <v>63</v>
      </c>
      <c r="C55" s="20"/>
      <c r="D55" s="3">
        <f>+D39</f>
        <v>3654391.4082959997</v>
      </c>
      <c r="E55" s="3">
        <f>+E39</f>
        <v>3727479.2364619202</v>
      </c>
      <c r="F55" s="3">
        <f>+F39</f>
        <v>3802028.8211911586</v>
      </c>
      <c r="G55" s="3">
        <f>+G39</f>
        <v>3878069.3976149815</v>
      </c>
      <c r="H55" s="3">
        <f>+H39</f>
        <v>3955630.7855672808</v>
      </c>
    </row>
    <row r="56" spans="1:8">
      <c r="A56" s="7" t="s">
        <v>65</v>
      </c>
      <c r="B56" s="20" t="s">
        <v>77</v>
      </c>
      <c r="C56" s="20"/>
      <c r="D56" s="3">
        <f>+D51</f>
        <v>4622625.9042119998</v>
      </c>
      <c r="E56" s="3">
        <f>+E51</f>
        <v>4715078.42229624</v>
      </c>
      <c r="F56" s="3">
        <f>+F51</f>
        <v>4809379.9907421647</v>
      </c>
      <c r="G56" s="3">
        <f>+G51</f>
        <v>4905567.5905570081</v>
      </c>
      <c r="H56" s="3">
        <f>+H51</f>
        <v>5003678.9423681479</v>
      </c>
    </row>
    <row r="57" spans="1:8" ht="15.75">
      <c r="A57" s="9" t="s">
        <v>71</v>
      </c>
      <c r="B57" s="8" t="s">
        <v>72</v>
      </c>
      <c r="C57" s="20"/>
      <c r="D57" s="29">
        <f>D55+D56</f>
        <v>8277017.3125080001</v>
      </c>
      <c r="E57" s="29">
        <f>E55+E56</f>
        <v>8442557.6587581597</v>
      </c>
      <c r="F57" s="29">
        <f>F55+F56</f>
        <v>8611408.8119333237</v>
      </c>
      <c r="G57" s="29">
        <f>G55+G56</f>
        <v>8783636.9881719891</v>
      </c>
      <c r="H57" s="29">
        <f>H55+H56</f>
        <v>8959309.7279354297</v>
      </c>
    </row>
    <row r="60" spans="1:8" ht="30">
      <c r="A60" s="6"/>
      <c r="B60" s="6"/>
      <c r="C60" s="6"/>
      <c r="D60" s="21">
        <v>2013</v>
      </c>
      <c r="E60" s="21">
        <v>2014</v>
      </c>
      <c r="F60" s="21" t="s">
        <v>121</v>
      </c>
      <c r="G60" s="21" t="s">
        <v>122</v>
      </c>
      <c r="H60" s="21" t="s">
        <v>15</v>
      </c>
    </row>
    <row r="61" spans="1:8">
      <c r="A61" s="7" t="s">
        <v>73</v>
      </c>
      <c r="B61" s="6" t="s">
        <v>116</v>
      </c>
      <c r="C61" s="4"/>
      <c r="D61" s="5"/>
      <c r="E61" s="3">
        <v>45484786</v>
      </c>
      <c r="F61" s="23"/>
      <c r="G61" s="3">
        <f>E61*D16</f>
        <v>45966924.731599994</v>
      </c>
      <c r="H61" s="23">
        <f>+G61</f>
        <v>45966924.731599994</v>
      </c>
    </row>
    <row r="62" spans="1:8">
      <c r="A62" s="7" t="s">
        <v>57</v>
      </c>
      <c r="B62" s="6" t="s">
        <v>58</v>
      </c>
      <c r="C62" s="64"/>
      <c r="E62" s="23">
        <f>+E33</f>
        <v>20354142</v>
      </c>
      <c r="F62" s="3"/>
      <c r="G62" s="6"/>
      <c r="H62" s="3">
        <f>+E62</f>
        <v>20354142</v>
      </c>
    </row>
    <row r="63" spans="1:8">
      <c r="A63" s="7" t="s">
        <v>74</v>
      </c>
      <c r="B63" s="6" t="s">
        <v>76</v>
      </c>
      <c r="C63" s="6"/>
      <c r="D63" s="6"/>
      <c r="E63" s="6"/>
      <c r="F63" s="6"/>
      <c r="G63" s="6"/>
      <c r="H63" s="34">
        <f>H61/H62</f>
        <v>2.2583572784153709</v>
      </c>
    </row>
    <row r="64" spans="1:8">
      <c r="A64" s="39"/>
      <c r="B64" s="19"/>
      <c r="C64" s="19"/>
      <c r="D64" s="19"/>
      <c r="E64" s="41"/>
      <c r="F64" s="19"/>
      <c r="G64" s="19"/>
      <c r="H64" s="19"/>
    </row>
    <row r="65" spans="1:8">
      <c r="A65" s="7" t="s">
        <v>22</v>
      </c>
      <c r="B65" s="2" t="s">
        <v>21</v>
      </c>
      <c r="C65" s="6"/>
      <c r="D65" s="42">
        <v>1</v>
      </c>
      <c r="E65" s="42">
        <v>2</v>
      </c>
      <c r="F65" s="42">
        <v>3</v>
      </c>
      <c r="G65" s="43">
        <v>4</v>
      </c>
      <c r="H65" s="43">
        <v>5</v>
      </c>
    </row>
    <row r="66" spans="1:8">
      <c r="A66" s="7" t="s">
        <v>74</v>
      </c>
      <c r="B66" s="6" t="s">
        <v>76</v>
      </c>
      <c r="C66" s="6"/>
      <c r="D66" s="34">
        <f>+H63</f>
        <v>2.2583572784153709</v>
      </c>
      <c r="E66" s="34">
        <f>+D66</f>
        <v>2.2583572784153709</v>
      </c>
      <c r="F66" s="34">
        <f>+E66</f>
        <v>2.2583572784153709</v>
      </c>
      <c r="G66" s="34">
        <f>+F66</f>
        <v>2.2583572784153709</v>
      </c>
      <c r="H66" s="34">
        <f>+G66</f>
        <v>2.2583572784153709</v>
      </c>
    </row>
    <row r="67" spans="1:8">
      <c r="A67" s="7" t="s">
        <v>60</v>
      </c>
      <c r="B67" s="20" t="s">
        <v>61</v>
      </c>
      <c r="C67" s="20"/>
      <c r="D67" s="3">
        <f>+D38</f>
        <v>20761224.84</v>
      </c>
      <c r="E67" s="3">
        <f t="shared" ref="E67:H67" si="3">+E38</f>
        <v>21176449.336800002</v>
      </c>
      <c r="F67" s="3">
        <f t="shared" si="3"/>
        <v>21599978.323536001</v>
      </c>
      <c r="G67" s="3">
        <f t="shared" si="3"/>
        <v>22031977.890006721</v>
      </c>
      <c r="H67" s="3">
        <f t="shared" si="3"/>
        <v>22472617.447806854</v>
      </c>
    </row>
    <row r="68" spans="1:8" ht="15.75">
      <c r="A68" s="10" t="s">
        <v>75</v>
      </c>
      <c r="B68" s="8" t="s">
        <v>115</v>
      </c>
      <c r="C68" s="20"/>
      <c r="D68" s="30">
        <f>D67*D66</f>
        <v>46886263.226231992</v>
      </c>
      <c r="E68" s="30">
        <f>E67*E66</f>
        <v>47823988.490756638</v>
      </c>
      <c r="F68" s="30">
        <f>F67*F66</f>
        <v>48780468.26057177</v>
      </c>
      <c r="G68" s="30">
        <f>G67*G66</f>
        <v>49756077.625783205</v>
      </c>
      <c r="H68" s="30">
        <f>H67*H66</f>
        <v>50751199.178298868</v>
      </c>
    </row>
    <row r="71" spans="1:8" ht="30">
      <c r="A71" s="6"/>
      <c r="B71" s="6"/>
      <c r="C71" s="6"/>
      <c r="D71" s="21">
        <v>2013</v>
      </c>
      <c r="E71" s="21">
        <v>2014</v>
      </c>
      <c r="F71" s="21" t="s">
        <v>121</v>
      </c>
      <c r="G71" s="21" t="s">
        <v>122</v>
      </c>
      <c r="H71" s="21" t="s">
        <v>15</v>
      </c>
    </row>
    <row r="72" spans="1:8">
      <c r="A72" s="7" t="s">
        <v>78</v>
      </c>
      <c r="B72" s="6" t="s">
        <v>110</v>
      </c>
      <c r="C72" s="4"/>
      <c r="D72" s="5"/>
      <c r="E72" s="3">
        <v>0</v>
      </c>
      <c r="F72" s="23"/>
      <c r="G72" s="54">
        <f>E72*D16</f>
        <v>0</v>
      </c>
      <c r="H72" s="23">
        <f>AVERAGE(F72:G72)</f>
        <v>0</v>
      </c>
    </row>
    <row r="73" spans="1:8">
      <c r="A73" s="7" t="s">
        <v>79</v>
      </c>
      <c r="B73" s="6" t="s">
        <v>111</v>
      </c>
      <c r="C73" s="4"/>
      <c r="D73" s="23"/>
      <c r="E73" s="23">
        <v>0</v>
      </c>
      <c r="F73" s="3"/>
      <c r="G73" s="6"/>
      <c r="H73" s="3">
        <f>AVERAGE(D73,E73)</f>
        <v>0</v>
      </c>
    </row>
    <row r="74" spans="1:8">
      <c r="A74" s="7" t="s">
        <v>80</v>
      </c>
      <c r="B74" s="6" t="s">
        <v>112</v>
      </c>
      <c r="C74" s="6"/>
      <c r="D74" s="6"/>
      <c r="E74" s="6"/>
      <c r="F74" s="6"/>
      <c r="G74" s="6"/>
      <c r="H74" s="34">
        <v>0</v>
      </c>
    </row>
    <row r="75" spans="1:8">
      <c r="A75" s="39"/>
      <c r="B75" s="19"/>
      <c r="C75" s="19"/>
      <c r="D75" s="19"/>
      <c r="E75" s="41"/>
      <c r="F75" s="19"/>
      <c r="G75" s="19"/>
      <c r="H75" s="19"/>
    </row>
    <row r="76" spans="1:8">
      <c r="A76" s="7" t="s">
        <v>22</v>
      </c>
      <c r="B76" s="2" t="s">
        <v>21</v>
      </c>
      <c r="C76" s="6"/>
      <c r="D76" s="42">
        <v>1</v>
      </c>
      <c r="E76" s="42">
        <v>2</v>
      </c>
      <c r="F76" s="42">
        <v>3</v>
      </c>
      <c r="G76" s="43">
        <v>4</v>
      </c>
      <c r="H76" s="43">
        <v>5</v>
      </c>
    </row>
    <row r="77" spans="1:8">
      <c r="A77" s="7" t="s">
        <v>80</v>
      </c>
      <c r="B77" s="6" t="s">
        <v>112</v>
      </c>
      <c r="C77" s="6"/>
      <c r="D77" s="34">
        <f>+H74</f>
        <v>0</v>
      </c>
      <c r="E77" s="34">
        <f>+D77</f>
        <v>0</v>
      </c>
      <c r="F77" s="34">
        <f>+E77</f>
        <v>0</v>
      </c>
      <c r="G77" s="34">
        <f>+F77</f>
        <v>0</v>
      </c>
      <c r="H77" s="34">
        <f>+G77</f>
        <v>0</v>
      </c>
    </row>
    <row r="78" spans="1:8">
      <c r="A78" s="7" t="s">
        <v>81</v>
      </c>
      <c r="B78" s="6" t="s">
        <v>113</v>
      </c>
      <c r="C78" s="20"/>
      <c r="D78" s="3">
        <v>0</v>
      </c>
      <c r="E78" s="3">
        <v>0</v>
      </c>
      <c r="F78" s="3">
        <v>0</v>
      </c>
      <c r="G78" s="3">
        <v>0</v>
      </c>
      <c r="H78" s="3">
        <v>0</v>
      </c>
    </row>
    <row r="79" spans="1:8" ht="15.75">
      <c r="A79" s="10" t="s">
        <v>82</v>
      </c>
      <c r="B79" s="8" t="s">
        <v>114</v>
      </c>
      <c r="C79" s="20"/>
      <c r="D79" s="30">
        <f>D78*D77</f>
        <v>0</v>
      </c>
      <c r="E79" s="30">
        <f>E78*E77</f>
        <v>0</v>
      </c>
      <c r="F79" s="30">
        <f>F78*F77</f>
        <v>0</v>
      </c>
      <c r="G79" s="30">
        <f>G78*G77</f>
        <v>0</v>
      </c>
      <c r="H79" s="30">
        <f>H78*H77</f>
        <v>0</v>
      </c>
    </row>
    <row r="81" spans="1:10">
      <c r="D81" s="67"/>
      <c r="E81" s="67"/>
      <c r="F81" s="67"/>
      <c r="G81" s="67"/>
      <c r="H81" s="67"/>
    </row>
    <row r="83" spans="1:10">
      <c r="A83" s="7" t="s">
        <v>22</v>
      </c>
      <c r="B83" s="2" t="s">
        <v>21</v>
      </c>
      <c r="C83" s="6"/>
      <c r="D83" s="42">
        <v>1</v>
      </c>
      <c r="E83" s="42">
        <v>2</v>
      </c>
      <c r="F83" s="42">
        <v>3</v>
      </c>
      <c r="G83" s="43">
        <v>4</v>
      </c>
      <c r="H83" s="43">
        <v>5</v>
      </c>
    </row>
    <row r="84" spans="1:10">
      <c r="A84" s="8" t="s">
        <v>71</v>
      </c>
      <c r="B84" s="20" t="s">
        <v>72</v>
      </c>
      <c r="C84" s="20"/>
      <c r="D84" s="23">
        <f>+D57</f>
        <v>8277017.3125080001</v>
      </c>
      <c r="E84" s="23">
        <f>+E57</f>
        <v>8442557.6587581597</v>
      </c>
      <c r="F84" s="23">
        <f>+F57</f>
        <v>8611408.8119333237</v>
      </c>
      <c r="G84" s="23">
        <f>+G57</f>
        <v>8783636.9881719891</v>
      </c>
      <c r="H84" s="23">
        <f>+H57</f>
        <v>8959309.7279354297</v>
      </c>
    </row>
    <row r="85" spans="1:10">
      <c r="A85" s="7" t="s">
        <v>75</v>
      </c>
      <c r="B85" s="20" t="s">
        <v>100</v>
      </c>
      <c r="C85" s="20"/>
      <c r="D85" s="3">
        <f>+D68</f>
        <v>46886263.226231992</v>
      </c>
      <c r="E85" s="3">
        <f>+E68</f>
        <v>47823988.490756638</v>
      </c>
      <c r="F85" s="3">
        <f>+F68</f>
        <v>48780468.26057177</v>
      </c>
      <c r="G85" s="3">
        <f>+G68</f>
        <v>49756077.625783205</v>
      </c>
      <c r="H85" s="3">
        <f>+H68</f>
        <v>50751199.178298868</v>
      </c>
    </row>
    <row r="86" spans="1:10">
      <c r="A86" s="7" t="s">
        <v>82</v>
      </c>
      <c r="B86" s="20" t="s">
        <v>83</v>
      </c>
      <c r="C86" s="20"/>
      <c r="D86" s="3">
        <f>+D79</f>
        <v>0</v>
      </c>
      <c r="E86" s="3">
        <f>+E79</f>
        <v>0</v>
      </c>
      <c r="F86" s="3">
        <f>+F79</f>
        <v>0</v>
      </c>
      <c r="G86" s="3">
        <f>+G79</f>
        <v>0</v>
      </c>
      <c r="H86" s="3">
        <f>+H79</f>
        <v>0</v>
      </c>
    </row>
    <row r="87" spans="1:10" ht="15.75">
      <c r="A87" s="9" t="s">
        <v>84</v>
      </c>
      <c r="B87" s="8" t="s">
        <v>85</v>
      </c>
      <c r="C87" s="4"/>
      <c r="D87" s="29">
        <f>SUM(D84:D86)</f>
        <v>55163280.538739994</v>
      </c>
      <c r="E87" s="29">
        <f>SUM(E84:E86)</f>
        <v>56266546.149514794</v>
      </c>
      <c r="F87" s="29">
        <f>SUM(F84:F86)</f>
        <v>57391877.072505094</v>
      </c>
      <c r="G87" s="29">
        <f>SUM(G84:G86)</f>
        <v>58539714.613955192</v>
      </c>
      <c r="H87" s="29">
        <f>SUM(H84:H86)</f>
        <v>59710508.906234294</v>
      </c>
    </row>
    <row r="89" spans="1:10" ht="18.75">
      <c r="A89" s="61" t="s">
        <v>88</v>
      </c>
      <c r="B89" s="62"/>
      <c r="C89" s="62"/>
      <c r="D89" s="62"/>
      <c r="E89" s="62"/>
      <c r="F89" s="62"/>
      <c r="G89" s="62"/>
      <c r="H89" s="62"/>
      <c r="I89" s="62"/>
      <c r="J89" s="63"/>
    </row>
    <row r="91" spans="1:10">
      <c r="A91" s="7" t="s">
        <v>22</v>
      </c>
      <c r="B91" s="2" t="s">
        <v>21</v>
      </c>
      <c r="C91" s="2"/>
      <c r="D91" s="33">
        <v>1</v>
      </c>
      <c r="E91" s="33">
        <v>2</v>
      </c>
      <c r="F91" s="33">
        <v>3</v>
      </c>
      <c r="G91" s="33">
        <v>4</v>
      </c>
      <c r="H91" s="33">
        <v>5</v>
      </c>
      <c r="I91" s="42" t="s">
        <v>30</v>
      </c>
    </row>
    <row r="92" spans="1:10" ht="18.75">
      <c r="A92" s="11" t="s">
        <v>50</v>
      </c>
      <c r="B92" s="20" t="s">
        <v>120</v>
      </c>
      <c r="C92" s="4"/>
      <c r="D92" s="3">
        <f>+D27</f>
        <v>15289399952.715866</v>
      </c>
      <c r="E92" s="3">
        <f>+E27</f>
        <v>13253842898.640251</v>
      </c>
      <c r="F92" s="3">
        <f>+F27</f>
        <v>11030713915.642427</v>
      </c>
      <c r="G92" s="3">
        <f>+G27</f>
        <v>8617748229.2682343</v>
      </c>
      <c r="H92" s="3">
        <f>+H27</f>
        <v>6012617449.6083126</v>
      </c>
      <c r="I92" s="6"/>
    </row>
    <row r="93" spans="1:10" ht="18.75">
      <c r="A93" s="11" t="s">
        <v>84</v>
      </c>
      <c r="B93" s="4" t="s">
        <v>85</v>
      </c>
      <c r="C93" s="4"/>
      <c r="D93" s="36">
        <f>+D87</f>
        <v>55163280.538739994</v>
      </c>
      <c r="E93" s="36">
        <f>+E87</f>
        <v>56266546.149514794</v>
      </c>
      <c r="F93" s="36">
        <f>+F87</f>
        <v>57391877.072505094</v>
      </c>
      <c r="G93" s="36">
        <f>+G87</f>
        <v>58539714.613955192</v>
      </c>
      <c r="H93" s="36">
        <f>+H87</f>
        <v>59710508.906234294</v>
      </c>
      <c r="I93" s="6"/>
    </row>
    <row r="94" spans="1:10" ht="18.75">
      <c r="A94" s="49" t="s">
        <v>27</v>
      </c>
      <c r="B94" s="50" t="s">
        <v>25</v>
      </c>
      <c r="C94" s="4"/>
      <c r="D94" s="35">
        <v>2.4299999999999999E-2</v>
      </c>
      <c r="E94" s="35">
        <v>2.4299999999999999E-2</v>
      </c>
      <c r="F94" s="35">
        <v>2.4299999999999999E-2</v>
      </c>
      <c r="G94" s="35">
        <v>2.4299999999999999E-2</v>
      </c>
      <c r="H94" s="35">
        <v>2.4299999999999999E-2</v>
      </c>
      <c r="I94" s="6"/>
    </row>
    <row r="95" spans="1:10" ht="18.75">
      <c r="A95" s="11" t="s">
        <v>89</v>
      </c>
      <c r="B95" s="20" t="s">
        <v>90</v>
      </c>
      <c r="C95" s="5">
        <v>46464651</v>
      </c>
      <c r="D95" s="3">
        <f>C95+(C95*5%)</f>
        <v>48787883.549999997</v>
      </c>
      <c r="E95" s="3">
        <f t="shared" ref="E95:H95" si="4">D95+(D95*5%)</f>
        <v>51227277.727499999</v>
      </c>
      <c r="F95" s="3">
        <f t="shared" si="4"/>
        <v>53788641.613875002</v>
      </c>
      <c r="G95" s="3">
        <f t="shared" si="4"/>
        <v>56478073.694568753</v>
      </c>
      <c r="H95" s="3">
        <f t="shared" si="4"/>
        <v>59301977.379297189</v>
      </c>
      <c r="I95" s="6"/>
      <c r="J95" s="16"/>
    </row>
    <row r="96" spans="1:10" ht="18.75">
      <c r="A96" s="11" t="s">
        <v>92</v>
      </c>
      <c r="B96" s="20" t="s">
        <v>91</v>
      </c>
      <c r="C96" s="4"/>
      <c r="D96" s="30">
        <f>((D92+D93)*(1+D94))+D95</f>
        <v>15766224003.372692</v>
      </c>
      <c r="E96" s="30">
        <f>((E92+E93)*(1+E94))+E95</f>
        <v>13684772382.025658</v>
      </c>
      <c r="F96" s="30">
        <f>((F92+F93)*(1+F94))+F95</f>
        <v>11411335405.09178</v>
      </c>
      <c r="G96" s="30">
        <f>((G92+G93)*(1+G94))+G95</f>
        <v>8943599814.6130943</v>
      </c>
      <c r="H96" s="30">
        <f>((H92+H93)*(1+H94))+H95</f>
        <v>6279187505.2857485</v>
      </c>
      <c r="I96" s="27">
        <f>SUM(D96:H96)</f>
        <v>56085119110.388977</v>
      </c>
    </row>
    <row r="97" spans="1:9" ht="18.75" hidden="1">
      <c r="A97" s="11"/>
      <c r="B97" s="20"/>
      <c r="C97" s="4"/>
      <c r="D97" s="3"/>
      <c r="E97" s="3"/>
      <c r="F97" s="3"/>
      <c r="G97" s="3"/>
      <c r="H97" s="3"/>
      <c r="I97" s="6"/>
    </row>
    <row r="98" spans="1:9" ht="18.75">
      <c r="A98" s="11" t="s">
        <v>118</v>
      </c>
      <c r="B98" s="2" t="s">
        <v>119</v>
      </c>
      <c r="C98" s="4"/>
      <c r="D98" s="30">
        <v>53218637.16557762</v>
      </c>
      <c r="E98" s="30">
        <v>55185859.487246037</v>
      </c>
      <c r="F98" s="30">
        <v>46812029.29821381</v>
      </c>
      <c r="G98" s="30">
        <v>49360276.948968112</v>
      </c>
      <c r="H98" s="30">
        <v>49925863.731153205</v>
      </c>
      <c r="I98" s="27">
        <f>SUM(D98:H98)</f>
        <v>254502666.63115877</v>
      </c>
    </row>
    <row r="99" spans="1:9" ht="18.75">
      <c r="A99" s="11" t="s">
        <v>93</v>
      </c>
      <c r="B99" s="20" t="s">
        <v>94</v>
      </c>
      <c r="C99" s="6"/>
      <c r="D99" s="6"/>
      <c r="E99" s="6"/>
      <c r="F99" s="6"/>
      <c r="G99" s="6"/>
      <c r="H99" s="6"/>
      <c r="I99" s="14">
        <f>I96/I98</f>
        <v>220.37143992550401</v>
      </c>
    </row>
    <row r="101" spans="1:9">
      <c r="D101" s="67"/>
      <c r="E101" s="67"/>
      <c r="F101" s="67"/>
      <c r="G101" s="67"/>
      <c r="H101" s="67"/>
      <c r="I101" s="15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5"/>
  <dimension ref="A1:J69"/>
  <sheetViews>
    <sheetView topLeftCell="A16" workbookViewId="0">
      <selection activeCell="I30" sqref="I30"/>
    </sheetView>
  </sheetViews>
  <sheetFormatPr baseColWidth="10" defaultRowHeight="15"/>
  <cols>
    <col min="1" max="1" width="15" customWidth="1"/>
    <col min="2" max="2" width="74.7109375" bestFit="1" customWidth="1"/>
    <col min="3" max="3" width="12.5703125" bestFit="1" customWidth="1"/>
    <col min="4" max="4" width="16.28515625" bestFit="1" customWidth="1"/>
    <col min="5" max="6" width="15.140625" bestFit="1" customWidth="1"/>
    <col min="7" max="7" width="16.42578125" customWidth="1"/>
    <col min="8" max="8" width="21" bestFit="1" customWidth="1"/>
    <col min="9" max="9" width="23" customWidth="1"/>
    <col min="10" max="10" width="22.5703125" bestFit="1" customWidth="1"/>
    <col min="11" max="11" width="12.5703125" bestFit="1" customWidth="1"/>
  </cols>
  <sheetData>
    <row r="1" spans="1:10" ht="18.75">
      <c r="A1" s="61" t="s">
        <v>86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30">
      <c r="A2" s="8" t="s">
        <v>16</v>
      </c>
      <c r="B2" s="354" t="s">
        <v>17</v>
      </c>
      <c r="C2" s="355"/>
      <c r="D2" s="355"/>
      <c r="E2" s="355"/>
      <c r="F2" s="356"/>
      <c r="G2" s="21">
        <v>2018</v>
      </c>
      <c r="H2" s="21" t="s">
        <v>242</v>
      </c>
    </row>
    <row r="3" spans="1:10">
      <c r="A3" s="2" t="s">
        <v>2</v>
      </c>
      <c r="B3" s="363" t="s">
        <v>34</v>
      </c>
      <c r="C3" s="364"/>
      <c r="D3" s="364"/>
      <c r="E3" s="364"/>
      <c r="F3" s="365"/>
      <c r="G3" s="3">
        <v>12991874184.923901</v>
      </c>
      <c r="H3" s="36">
        <f>G3*$G$16</f>
        <v>13082140957.530863</v>
      </c>
    </row>
    <row r="4" spans="1:10">
      <c r="A4" s="2" t="s">
        <v>4</v>
      </c>
      <c r="B4" s="363" t="s">
        <v>7</v>
      </c>
      <c r="C4" s="364"/>
      <c r="D4" s="364"/>
      <c r="E4" s="364"/>
      <c r="F4" s="365"/>
      <c r="G4" s="3">
        <v>1487583560.5123999</v>
      </c>
      <c r="H4" s="36">
        <f t="shared" ref="H4:H15" si="0">G4*$G$16</f>
        <v>1497919203.0131907</v>
      </c>
    </row>
    <row r="5" spans="1:10">
      <c r="A5" s="2" t="s">
        <v>5</v>
      </c>
      <c r="B5" s="363" t="s">
        <v>35</v>
      </c>
      <c r="C5" s="364"/>
      <c r="D5" s="364"/>
      <c r="E5" s="364"/>
      <c r="F5" s="365"/>
      <c r="G5" s="3">
        <v>107422718.01399998</v>
      </c>
      <c r="H5" s="36">
        <f t="shared" si="0"/>
        <v>108169084.69841906</v>
      </c>
    </row>
    <row r="6" spans="1:10">
      <c r="A6" s="2" t="s">
        <v>6</v>
      </c>
      <c r="B6" s="363" t="s">
        <v>36</v>
      </c>
      <c r="C6" s="364"/>
      <c r="D6" s="364"/>
      <c r="E6" s="364"/>
      <c r="F6" s="365"/>
      <c r="G6" s="3">
        <v>297723169.69229996</v>
      </c>
      <c r="H6" s="36">
        <f t="shared" si="0"/>
        <v>299791732.64756817</v>
      </c>
    </row>
    <row r="7" spans="1:10">
      <c r="A7" s="2" t="s">
        <v>9</v>
      </c>
      <c r="B7" s="363" t="s">
        <v>37</v>
      </c>
      <c r="C7" s="364"/>
      <c r="D7" s="364"/>
      <c r="E7" s="364"/>
      <c r="F7" s="365"/>
      <c r="G7" s="3">
        <v>2688279640.6880999</v>
      </c>
      <c r="H7" s="36">
        <f t="shared" si="0"/>
        <v>2706957648.462491</v>
      </c>
    </row>
    <row r="8" spans="1:10">
      <c r="A8" s="2" t="s">
        <v>10</v>
      </c>
      <c r="B8" s="363" t="s">
        <v>38</v>
      </c>
      <c r="C8" s="364"/>
      <c r="D8" s="364"/>
      <c r="E8" s="364"/>
      <c r="F8" s="365"/>
      <c r="G8" s="3">
        <v>392186318.02099997</v>
      </c>
      <c r="H8" s="36">
        <f t="shared" si="0"/>
        <v>394911205.33783096</v>
      </c>
    </row>
    <row r="9" spans="1:10">
      <c r="A9" s="2" t="s">
        <v>11</v>
      </c>
      <c r="B9" s="363" t="s">
        <v>39</v>
      </c>
      <c r="C9" s="364"/>
      <c r="D9" s="364"/>
      <c r="E9" s="364"/>
      <c r="F9" s="365"/>
      <c r="G9" s="3">
        <v>491380610.29210001</v>
      </c>
      <c r="H9" s="36">
        <f t="shared" si="0"/>
        <v>494794693.67848152</v>
      </c>
    </row>
    <row r="10" spans="1:10">
      <c r="A10" s="2" t="s">
        <v>13</v>
      </c>
      <c r="B10" s="363" t="s">
        <v>40</v>
      </c>
      <c r="C10" s="364"/>
      <c r="D10" s="364"/>
      <c r="E10" s="364"/>
      <c r="F10" s="365"/>
      <c r="G10" s="3">
        <v>231405417.02160001</v>
      </c>
      <c r="H10" s="36">
        <f t="shared" si="0"/>
        <v>233013208.15788943</v>
      </c>
    </row>
    <row r="11" spans="1:10">
      <c r="A11" s="2" t="s">
        <v>41</v>
      </c>
      <c r="B11" s="363" t="s">
        <v>42</v>
      </c>
      <c r="C11" s="364"/>
      <c r="D11" s="364"/>
      <c r="E11" s="364"/>
      <c r="F11" s="365"/>
      <c r="G11" s="3">
        <v>920885132.60019994</v>
      </c>
      <c r="H11" s="36">
        <f t="shared" si="0"/>
        <v>927283387.97724283</v>
      </c>
    </row>
    <row r="12" spans="1:10">
      <c r="A12" s="2" t="s">
        <v>43</v>
      </c>
      <c r="B12" s="363" t="s">
        <v>44</v>
      </c>
      <c r="C12" s="364"/>
      <c r="D12" s="364"/>
      <c r="E12" s="364"/>
      <c r="F12" s="365"/>
      <c r="G12" s="3">
        <v>109684308.25849998</v>
      </c>
      <c r="H12" s="36">
        <f t="shared" si="0"/>
        <v>110446388.33803239</v>
      </c>
    </row>
    <row r="13" spans="1:10">
      <c r="A13" s="2" t="s">
        <v>45</v>
      </c>
      <c r="B13" s="363" t="s">
        <v>46</v>
      </c>
      <c r="C13" s="364"/>
      <c r="D13" s="364"/>
      <c r="E13" s="364"/>
      <c r="F13" s="365"/>
      <c r="G13" s="3">
        <v>9962685.8006999996</v>
      </c>
      <c r="H13" s="36">
        <f t="shared" si="0"/>
        <v>10031905.951767193</v>
      </c>
    </row>
    <row r="14" spans="1:10">
      <c r="A14" s="2" t="s">
        <v>125</v>
      </c>
      <c r="B14" s="363" t="s">
        <v>126</v>
      </c>
      <c r="C14" s="364"/>
      <c r="D14" s="364"/>
      <c r="E14" s="364"/>
      <c r="F14" s="365"/>
      <c r="G14" s="3">
        <v>299497617.94189996</v>
      </c>
      <c r="H14" s="36">
        <f t="shared" si="0"/>
        <v>301578509.65854388</v>
      </c>
    </row>
    <row r="15" spans="1:10" ht="18.75">
      <c r="A15" s="7" t="s">
        <v>99</v>
      </c>
      <c r="B15" s="366" t="s">
        <v>105</v>
      </c>
      <c r="C15" s="367"/>
      <c r="D15" s="367"/>
      <c r="E15" s="367"/>
      <c r="F15" s="368"/>
      <c r="G15" s="3">
        <f>SUM(G3:G14)</f>
        <v>20027885363.766697</v>
      </c>
      <c r="H15" s="27">
        <f t="shared" si="0"/>
        <v>20167037925.452316</v>
      </c>
    </row>
    <row r="16" spans="1:10" ht="18.75">
      <c r="A16" s="11"/>
      <c r="B16" s="357" t="s">
        <v>285</v>
      </c>
      <c r="C16" s="358"/>
      <c r="D16" s="358"/>
      <c r="E16" s="358"/>
      <c r="F16" s="359"/>
      <c r="G16" s="141">
        <f>+'CMA UNIFICADO'!G10</f>
        <v>1.006947940791461</v>
      </c>
      <c r="H16" s="13"/>
      <c r="I16" s="125"/>
    </row>
    <row r="17" spans="1:10" ht="30">
      <c r="A17" s="6"/>
      <c r="B17" s="6"/>
      <c r="C17" s="6"/>
      <c r="D17" s="21"/>
      <c r="E17" s="21"/>
      <c r="F17" s="21"/>
      <c r="G17" s="21"/>
      <c r="H17" s="21" t="s">
        <v>243</v>
      </c>
    </row>
    <row r="18" spans="1:10">
      <c r="A18" s="6"/>
      <c r="B18" s="6" t="s">
        <v>167</v>
      </c>
      <c r="C18" s="6"/>
      <c r="D18" s="5"/>
      <c r="E18" s="5"/>
      <c r="F18" s="21"/>
      <c r="G18" s="21"/>
      <c r="H18" s="5">
        <v>108200</v>
      </c>
    </row>
    <row r="19" spans="1:10">
      <c r="A19" s="6"/>
      <c r="B19" s="6" t="s">
        <v>168</v>
      </c>
      <c r="C19" s="6"/>
      <c r="D19" s="5"/>
      <c r="E19" s="5"/>
      <c r="F19" s="21"/>
      <c r="G19" s="21"/>
      <c r="H19" s="5">
        <v>39800</v>
      </c>
    </row>
    <row r="20" spans="1:10">
      <c r="A20" s="6"/>
      <c r="B20" s="157" t="s">
        <v>169</v>
      </c>
      <c r="C20" s="157"/>
      <c r="D20" s="158"/>
      <c r="E20" s="158"/>
      <c r="F20" s="159"/>
      <c r="G20" s="159"/>
      <c r="H20" s="158">
        <v>970</v>
      </c>
    </row>
    <row r="21" spans="1:10" ht="18.75">
      <c r="A21" s="11" t="s">
        <v>106</v>
      </c>
      <c r="B21" s="20" t="s">
        <v>107</v>
      </c>
      <c r="C21" s="20"/>
      <c r="D21" s="59"/>
      <c r="E21" s="59"/>
      <c r="F21" s="20"/>
      <c r="G21" s="6"/>
      <c r="H21" s="25">
        <f>SUM(H18:H20)</f>
        <v>148970</v>
      </c>
    </row>
    <row r="22" spans="1:10" ht="18.75">
      <c r="A22" s="11"/>
      <c r="B22" s="20"/>
      <c r="C22" s="20"/>
      <c r="D22" s="59"/>
      <c r="E22" s="59"/>
      <c r="F22" s="20"/>
      <c r="G22" s="6"/>
      <c r="H22" s="25"/>
    </row>
    <row r="23" spans="1:10" ht="18.75">
      <c r="A23" s="11"/>
      <c r="B23" s="20"/>
      <c r="C23" s="20"/>
      <c r="D23" s="59"/>
      <c r="E23" s="59"/>
      <c r="F23" s="20"/>
      <c r="G23" s="6"/>
      <c r="H23" s="25"/>
    </row>
    <row r="24" spans="1:10" ht="18.75">
      <c r="A24" s="55" t="s">
        <v>47</v>
      </c>
      <c r="B24" s="48" t="s">
        <v>49</v>
      </c>
      <c r="C24" s="6"/>
      <c r="D24" s="6"/>
      <c r="E24" s="6"/>
      <c r="F24" s="6"/>
      <c r="G24" s="28"/>
      <c r="H24" s="27">
        <f>+'CMO APS 1'!H25</f>
        <v>10365.673360073462</v>
      </c>
    </row>
    <row r="25" spans="1:10" ht="18.75">
      <c r="A25" s="11"/>
      <c r="B25" s="357" t="s">
        <v>286</v>
      </c>
      <c r="C25" s="358"/>
      <c r="D25" s="358"/>
      <c r="E25" s="358"/>
      <c r="F25" s="359"/>
      <c r="G25" s="141">
        <f>+'CMA UNIFICADO'!G20</f>
        <v>1.2125621438098704</v>
      </c>
      <c r="H25" s="13"/>
      <c r="I25" s="125"/>
    </row>
    <row r="26" spans="1:10" ht="18.75">
      <c r="A26" s="55" t="s">
        <v>47</v>
      </c>
      <c r="B26" s="48" t="s">
        <v>245</v>
      </c>
      <c r="C26" s="6"/>
      <c r="D26" s="6"/>
      <c r="E26" s="6"/>
      <c r="F26" s="6"/>
      <c r="G26" s="28"/>
      <c r="H26" s="27">
        <f>H24*G25</f>
        <v>12569.02311152354</v>
      </c>
    </row>
    <row r="28" spans="1:10">
      <c r="C28">
        <v>2018</v>
      </c>
      <c r="D28">
        <v>2019</v>
      </c>
      <c r="E28">
        <v>2020</v>
      </c>
      <c r="F28" s="142">
        <v>2021</v>
      </c>
      <c r="G28">
        <v>2022</v>
      </c>
      <c r="H28">
        <v>2023</v>
      </c>
    </row>
    <row r="29" spans="1:10">
      <c r="A29" s="7" t="s">
        <v>22</v>
      </c>
      <c r="B29" s="2" t="s">
        <v>21</v>
      </c>
      <c r="C29" s="42">
        <v>0</v>
      </c>
      <c r="D29" s="33">
        <v>1</v>
      </c>
      <c r="E29" s="33">
        <v>2</v>
      </c>
      <c r="F29" s="33">
        <v>3</v>
      </c>
      <c r="G29" s="33">
        <v>4</v>
      </c>
      <c r="H29" s="33">
        <v>5</v>
      </c>
      <c r="J29" s="44"/>
    </row>
    <row r="30" spans="1:10" ht="18.75">
      <c r="A30" s="12" t="s">
        <v>48</v>
      </c>
      <c r="B30" s="6" t="s">
        <v>117</v>
      </c>
      <c r="C30" s="3">
        <f>H15/(H21*12)</f>
        <v>11281.375403018681</v>
      </c>
      <c r="D30" s="3">
        <f>C30-(($C$30-$H$26)/3)</f>
        <v>11710.591305853633</v>
      </c>
      <c r="E30" s="3">
        <f>D30-(($C$30-$H$26)/3)</f>
        <v>12139.807208688586</v>
      </c>
      <c r="F30" s="3">
        <f>+H26</f>
        <v>12569.02311152354</v>
      </c>
      <c r="G30" s="3">
        <f>+F30</f>
        <v>12569.02311152354</v>
      </c>
      <c r="H30" s="3">
        <f>+G30</f>
        <v>12569.02311152354</v>
      </c>
      <c r="J30" s="19"/>
    </row>
    <row r="31" spans="1:10" ht="18.75">
      <c r="A31" s="11"/>
      <c r="B31" s="116" t="s">
        <v>174</v>
      </c>
      <c r="C31" s="5"/>
      <c r="D31" s="120">
        <f>+'Proy de Suscriptores APS1'!D37</f>
        <v>115471.33</v>
      </c>
      <c r="E31" s="120">
        <f>+'Proy de Suscriptores APS1'!E37</f>
        <v>126449.9025</v>
      </c>
      <c r="F31" s="120">
        <f>+'Proy de Suscriptores APS1'!F37</f>
        <v>133710.55751249997</v>
      </c>
      <c r="G31" s="120">
        <f>+'Proy de Suscriptores APS1'!G37</f>
        <v>137280.65045681249</v>
      </c>
      <c r="H31" s="120">
        <f>+'Proy de Suscriptores APS1'!H37</f>
        <v>140980.37757662532</v>
      </c>
      <c r="J31" s="19"/>
    </row>
    <row r="32" spans="1:10" ht="18.75">
      <c r="A32" s="11"/>
      <c r="B32" s="116" t="s">
        <v>175</v>
      </c>
      <c r="C32" s="5"/>
      <c r="D32" s="120">
        <f>+'Proy de Suscriptores APS2'!D36</f>
        <v>41074.163967893328</v>
      </c>
      <c r="E32" s="120">
        <f>+'Proy de Suscriptores APS2'!E36</f>
        <v>43046.141360406757</v>
      </c>
      <c r="F32" s="120">
        <f>+'Proy de Suscriptores APS2'!F36</f>
        <v>44729.582950551921</v>
      </c>
      <c r="G32" s="120">
        <f>+'Proy de Suscriptores APS2'!G36</f>
        <v>46117.296987656002</v>
      </c>
      <c r="H32" s="120">
        <f>+'Proy de Suscriptores APS2'!H36</f>
        <v>47273.413166494531</v>
      </c>
      <c r="J32" s="19"/>
    </row>
    <row r="33" spans="1:10" ht="18.75">
      <c r="A33" s="11"/>
      <c r="B33" s="116" t="s">
        <v>176</v>
      </c>
      <c r="C33" s="5"/>
      <c r="D33" s="120">
        <f>+'Proy de Suscriptores APS3'!D36</f>
        <v>1093.1069729961125</v>
      </c>
      <c r="E33" s="120">
        <f>+'Proy de Suscriptores APS3'!E36</f>
        <v>1279.3631689883373</v>
      </c>
      <c r="F33" s="120">
        <f>+'Proy de Suscriptores APS3'!F36</f>
        <v>1465.7066112305622</v>
      </c>
      <c r="G33" s="120">
        <f>+'Proy de Suscriptores APS3'!G36</f>
        <v>1652.142970729037</v>
      </c>
      <c r="H33" s="120">
        <f>+'Proy de Suscriptores APS3'!H36</f>
        <v>1838.6782871054181</v>
      </c>
      <c r="J33" s="19"/>
    </row>
    <row r="34" spans="1:10" ht="18.75">
      <c r="A34" s="12" t="s">
        <v>23</v>
      </c>
      <c r="B34" s="6" t="s">
        <v>24</v>
      </c>
      <c r="C34" s="6"/>
      <c r="D34" s="23">
        <f>SUM(D31:D33)</f>
        <v>157638.60094088945</v>
      </c>
      <c r="E34" s="23">
        <f t="shared" ref="E34:H34" si="1">SUM(E31:E33)</f>
        <v>170775.40702939511</v>
      </c>
      <c r="F34" s="23">
        <f t="shared" si="1"/>
        <v>179905.84707428247</v>
      </c>
      <c r="G34" s="23">
        <f t="shared" si="1"/>
        <v>185050.09041519754</v>
      </c>
      <c r="H34" s="23">
        <f t="shared" si="1"/>
        <v>190092.46903022527</v>
      </c>
      <c r="J34" s="19"/>
    </row>
    <row r="35" spans="1:10" ht="18.75">
      <c r="A35" s="11" t="s">
        <v>50</v>
      </c>
      <c r="B35" s="8" t="s">
        <v>51</v>
      </c>
      <c r="C35" s="4"/>
      <c r="D35" s="30">
        <f>D30*D34*12</f>
        <v>22152494755.743725</v>
      </c>
      <c r="E35" s="30">
        <f>E30*E34*12</f>
        <v>24878166207.866138</v>
      </c>
      <c r="F35" s="30">
        <f>F30*F34*12</f>
        <v>27134888997.298515</v>
      </c>
      <c r="G35" s="30">
        <f>G30*G34*12</f>
        <v>27910786358.617664</v>
      </c>
      <c r="H35" s="30">
        <f>H30*H34*12</f>
        <v>28671319638.809692</v>
      </c>
      <c r="J35" s="19"/>
    </row>
    <row r="36" spans="1:10" ht="18.75">
      <c r="A36" s="31"/>
      <c r="B36" s="17"/>
      <c r="C36" s="19"/>
      <c r="D36" s="41"/>
      <c r="E36" s="41"/>
      <c r="F36" s="41"/>
      <c r="G36" s="41"/>
      <c r="H36" s="41"/>
      <c r="I36" s="19"/>
      <c r="J36" s="38"/>
    </row>
    <row r="37" spans="1:10" ht="18.75">
      <c r="A37" s="61" t="s">
        <v>87</v>
      </c>
      <c r="B37" s="62"/>
      <c r="C37" s="62"/>
      <c r="D37" s="62"/>
      <c r="E37" s="62"/>
      <c r="F37" s="62"/>
      <c r="G37" s="62"/>
      <c r="H37" s="62"/>
      <c r="I37" s="62"/>
      <c r="J37" s="63"/>
    </row>
    <row r="40" spans="1:10">
      <c r="A40" s="7" t="s">
        <v>22</v>
      </c>
      <c r="B40" s="2" t="s">
        <v>21</v>
      </c>
      <c r="C40" s="6"/>
      <c r="D40" s="42">
        <v>1</v>
      </c>
      <c r="E40" s="42">
        <v>2</v>
      </c>
      <c r="F40" s="42">
        <v>3</v>
      </c>
      <c r="G40" s="43">
        <v>4</v>
      </c>
      <c r="H40" s="43">
        <v>5</v>
      </c>
    </row>
    <row r="41" spans="1:10">
      <c r="A41" s="7"/>
      <c r="B41" s="2" t="s">
        <v>184</v>
      </c>
      <c r="C41" s="6"/>
      <c r="D41" s="51">
        <f>+'CMO APS 1'!D88</f>
        <v>566068956.35507989</v>
      </c>
      <c r="E41" s="51">
        <f>+'CMO APS 1'!E88</f>
        <v>577390335.48218155</v>
      </c>
      <c r="F41" s="51">
        <f>+'CMO APS 1'!F88</f>
        <v>588938142.19182503</v>
      </c>
      <c r="G41" s="51">
        <f>+'CMO APS 1'!G88</f>
        <v>600716905.03566158</v>
      </c>
      <c r="H41" s="51">
        <f>+'CMO APS 1'!H88</f>
        <v>612731243.13637483</v>
      </c>
    </row>
    <row r="42" spans="1:10">
      <c r="A42" s="7"/>
      <c r="B42" s="2" t="s">
        <v>185</v>
      </c>
      <c r="C42" s="6"/>
      <c r="D42" s="51">
        <f>+'CMO APS 2'!D84</f>
        <v>8277017.3125080001</v>
      </c>
      <c r="E42" s="51">
        <f>+'CMO APS 2'!E84</f>
        <v>8442557.6587581597</v>
      </c>
      <c r="F42" s="51">
        <f>+'CMO APS 2'!F84</f>
        <v>8611408.8119333237</v>
      </c>
      <c r="G42" s="51">
        <f>+'CMO APS 2'!G84</f>
        <v>8783636.9881719891</v>
      </c>
      <c r="H42" s="51">
        <f>+'CMO APS 2'!H84</f>
        <v>8959309.7279354297</v>
      </c>
    </row>
    <row r="43" spans="1:10">
      <c r="A43" s="7"/>
      <c r="B43" s="160" t="s">
        <v>186</v>
      </c>
      <c r="C43" s="157"/>
      <c r="D43" s="161">
        <v>1061333.3125079998</v>
      </c>
      <c r="E43" s="161">
        <v>1082559.9787581598</v>
      </c>
      <c r="F43" s="161">
        <v>1104211.178333323</v>
      </c>
      <c r="G43" s="161">
        <v>1126295.4018999892</v>
      </c>
      <c r="H43" s="161">
        <v>1148821.3099379893</v>
      </c>
    </row>
    <row r="44" spans="1:10">
      <c r="A44" s="8" t="s">
        <v>71</v>
      </c>
      <c r="B44" s="20" t="s">
        <v>72</v>
      </c>
      <c r="C44" s="20"/>
      <c r="D44" s="23">
        <f>SUM(D41:D43)</f>
        <v>575407306.98009586</v>
      </c>
      <c r="E44" s="23">
        <f t="shared" ref="E44:H44" si="2">SUM(E41:E43)</f>
        <v>586915453.11969793</v>
      </c>
      <c r="F44" s="23">
        <f t="shared" si="2"/>
        <v>598653762.18209159</v>
      </c>
      <c r="G44" s="23">
        <f t="shared" si="2"/>
        <v>610626837.42573345</v>
      </c>
      <c r="H44" s="23">
        <f t="shared" si="2"/>
        <v>622839374.17424822</v>
      </c>
    </row>
    <row r="45" spans="1:10">
      <c r="A45" s="8"/>
      <c r="B45" s="20" t="s">
        <v>187</v>
      </c>
      <c r="C45" s="20"/>
      <c r="D45" s="23">
        <f>+'CMO APS 1'!D89</f>
        <v>561653220.60413992</v>
      </c>
      <c r="E45" s="23">
        <f>+'CMO APS 1'!E89</f>
        <v>572886285.01622272</v>
      </c>
      <c r="F45" s="23">
        <f>+'CMO APS 1'!F89</f>
        <v>584344010.71654713</v>
      </c>
      <c r="G45" s="23">
        <f>+'CMO APS 1'!G89</f>
        <v>596030890.93087816</v>
      </c>
      <c r="H45" s="23">
        <f>+'CMO APS 1'!H89</f>
        <v>607951508.74949563</v>
      </c>
    </row>
    <row r="46" spans="1:10">
      <c r="A46" s="8"/>
      <c r="B46" s="20" t="s">
        <v>188</v>
      </c>
      <c r="C46" s="20"/>
      <c r="D46" s="23">
        <f>+'CMO APS 2'!D85</f>
        <v>46886263.226231992</v>
      </c>
      <c r="E46" s="23">
        <f>+'CMO APS 2'!E85</f>
        <v>47823988.490756638</v>
      </c>
      <c r="F46" s="23">
        <f>+'CMO APS 2'!F85</f>
        <v>48780468.26057177</v>
      </c>
      <c r="G46" s="23">
        <f>+'CMO APS 2'!G85</f>
        <v>49756077.625783205</v>
      </c>
      <c r="H46" s="23">
        <f>+'CMO APS 2'!H85</f>
        <v>50751199.178298868</v>
      </c>
    </row>
    <row r="47" spans="1:10">
      <c r="A47" s="8"/>
      <c r="B47" s="157" t="s">
        <v>189</v>
      </c>
      <c r="C47" s="157"/>
      <c r="D47" s="162">
        <v>5594481.7199999988</v>
      </c>
      <c r="E47" s="162">
        <v>5706371.3543999987</v>
      </c>
      <c r="F47" s="162">
        <v>5820498.7814879995</v>
      </c>
      <c r="G47" s="162">
        <v>5936908.7571177594</v>
      </c>
      <c r="H47" s="162">
        <v>6055646.9322601138</v>
      </c>
    </row>
    <row r="48" spans="1:10">
      <c r="A48" s="7" t="s">
        <v>75</v>
      </c>
      <c r="B48" s="20" t="s">
        <v>100</v>
      </c>
      <c r="C48" s="20"/>
      <c r="D48" s="3">
        <f>SUM(D45:D47)</f>
        <v>614133965.55037189</v>
      </c>
      <c r="E48" s="3">
        <f t="shared" ref="E48:H48" si="3">SUM(E45:E47)</f>
        <v>626416644.86137938</v>
      </c>
      <c r="F48" s="3">
        <f t="shared" si="3"/>
        <v>638944977.75860679</v>
      </c>
      <c r="G48" s="3">
        <f t="shared" si="3"/>
        <v>651723877.31377912</v>
      </c>
      <c r="H48" s="3">
        <f t="shared" si="3"/>
        <v>664758354.86005461</v>
      </c>
    </row>
    <row r="49" spans="1:10">
      <c r="A49" s="7" t="s">
        <v>82</v>
      </c>
      <c r="B49" s="20" t="s">
        <v>83</v>
      </c>
      <c r="C49" s="20"/>
      <c r="D49" s="3">
        <v>0</v>
      </c>
      <c r="E49" s="3">
        <v>0</v>
      </c>
      <c r="F49" s="3">
        <v>0</v>
      </c>
      <c r="G49" s="3">
        <v>0</v>
      </c>
      <c r="H49" s="3">
        <v>0</v>
      </c>
    </row>
    <row r="50" spans="1:10" ht="15.75">
      <c r="A50" s="9" t="s">
        <v>84</v>
      </c>
      <c r="B50" s="8" t="s">
        <v>85</v>
      </c>
      <c r="C50" s="4"/>
      <c r="D50" s="29">
        <f>D44+D48</f>
        <v>1189541272.5304677</v>
      </c>
      <c r="E50" s="29">
        <f t="shared" ref="E50:H50" si="4">E44+E48</f>
        <v>1213332097.9810772</v>
      </c>
      <c r="F50" s="29">
        <f t="shared" si="4"/>
        <v>1237598739.9406984</v>
      </c>
      <c r="G50" s="29">
        <f t="shared" si="4"/>
        <v>1262350714.7395124</v>
      </c>
      <c r="H50" s="29">
        <f t="shared" si="4"/>
        <v>1287597729.0343027</v>
      </c>
    </row>
    <row r="52" spans="1:10" ht="18.75">
      <c r="A52" s="61" t="s">
        <v>88</v>
      </c>
      <c r="B52" s="62"/>
      <c r="C52" s="62"/>
      <c r="D52" s="62"/>
      <c r="E52" s="62"/>
      <c r="F52" s="62"/>
      <c r="G52" s="62"/>
      <c r="H52" s="62"/>
      <c r="I52" s="62"/>
      <c r="J52" s="63"/>
    </row>
    <row r="54" spans="1:10">
      <c r="A54" s="7" t="s">
        <v>22</v>
      </c>
      <c r="B54" s="2" t="s">
        <v>21</v>
      </c>
      <c r="C54" s="2"/>
      <c r="D54" s="33">
        <v>1</v>
      </c>
      <c r="E54" s="33">
        <v>2</v>
      </c>
      <c r="F54" s="33">
        <v>3</v>
      </c>
      <c r="G54" s="33">
        <v>4</v>
      </c>
      <c r="H54" s="33">
        <v>5</v>
      </c>
      <c r="I54" s="42" t="s">
        <v>30</v>
      </c>
    </row>
    <row r="55" spans="1:10" ht="18.75">
      <c r="A55" s="11" t="s">
        <v>50</v>
      </c>
      <c r="B55" s="20" t="s">
        <v>120</v>
      </c>
      <c r="C55" s="4"/>
      <c r="D55" s="3">
        <f>+D35</f>
        <v>22152494755.743725</v>
      </c>
      <c r="E55" s="3">
        <f>+E35</f>
        <v>24878166207.866138</v>
      </c>
      <c r="F55" s="3">
        <f>+F35</f>
        <v>27134888997.298515</v>
      </c>
      <c r="G55" s="3">
        <f>+G35</f>
        <v>27910786358.617664</v>
      </c>
      <c r="H55" s="3">
        <f>+H35</f>
        <v>28671319638.809692</v>
      </c>
      <c r="I55" s="6"/>
    </row>
    <row r="56" spans="1:10" ht="18.75">
      <c r="A56" s="11" t="s">
        <v>84</v>
      </c>
      <c r="B56" s="4" t="s">
        <v>85</v>
      </c>
      <c r="C56" s="4"/>
      <c r="D56" s="36">
        <f>+D50</f>
        <v>1189541272.5304677</v>
      </c>
      <c r="E56" s="36">
        <f>+E50</f>
        <v>1213332097.9810772</v>
      </c>
      <c r="F56" s="36">
        <f>+F50</f>
        <v>1237598739.9406984</v>
      </c>
      <c r="G56" s="36">
        <f>+G50</f>
        <v>1262350714.7395124</v>
      </c>
      <c r="H56" s="36">
        <f>+H50</f>
        <v>1287597729.0343027</v>
      </c>
      <c r="I56" s="6"/>
    </row>
    <row r="57" spans="1:10" ht="18.75">
      <c r="A57" s="49" t="s">
        <v>27</v>
      </c>
      <c r="B57" s="50" t="s">
        <v>25</v>
      </c>
      <c r="C57" s="4"/>
      <c r="D57" s="35">
        <v>2.6100000000000002E-2</v>
      </c>
      <c r="E57" s="35">
        <v>2.6100000000000002E-2</v>
      </c>
      <c r="F57" s="35">
        <v>2.6100000000000002E-2</v>
      </c>
      <c r="G57" s="35">
        <v>2.6100000000000002E-2</v>
      </c>
      <c r="H57" s="35">
        <v>2.6100000000000002E-2</v>
      </c>
      <c r="I57" s="6"/>
    </row>
    <row r="58" spans="1:10" ht="18.75">
      <c r="A58" s="49"/>
      <c r="B58" s="50" t="s">
        <v>178</v>
      </c>
      <c r="C58" s="4"/>
      <c r="D58" s="3">
        <v>562228958.54999995</v>
      </c>
      <c r="E58" s="3">
        <v>590340406.47749996</v>
      </c>
      <c r="F58" s="3">
        <v>619857426.80137491</v>
      </c>
      <c r="G58" s="3">
        <v>650850298.14144361</v>
      </c>
      <c r="H58" s="3">
        <v>683392813.0485158</v>
      </c>
      <c r="I58" s="6"/>
    </row>
    <row r="59" spans="1:10" ht="18.75">
      <c r="A59" s="49"/>
      <c r="B59" s="50" t="s">
        <v>179</v>
      </c>
      <c r="C59" s="4"/>
      <c r="D59" s="3">
        <v>48787883.549999997</v>
      </c>
      <c r="E59" s="3">
        <v>51227277.727499999</v>
      </c>
      <c r="F59" s="3">
        <v>53788641.613875002</v>
      </c>
      <c r="G59" s="3">
        <v>56478073.694568753</v>
      </c>
      <c r="H59" s="3">
        <v>59301977.379297189</v>
      </c>
      <c r="I59" s="6"/>
    </row>
    <row r="60" spans="1:10" ht="18.75">
      <c r="A60" s="49"/>
      <c r="B60" s="163" t="s">
        <v>180</v>
      </c>
      <c r="C60" s="160"/>
      <c r="D60" s="158">
        <v>487883.55</v>
      </c>
      <c r="E60" s="158">
        <v>512277.72749999998</v>
      </c>
      <c r="F60" s="158">
        <v>537891.61387500004</v>
      </c>
      <c r="G60" s="158">
        <v>564786.19456874998</v>
      </c>
      <c r="H60" s="158">
        <v>593025.50429718744</v>
      </c>
      <c r="I60" s="6"/>
    </row>
    <row r="61" spans="1:10" ht="18.75">
      <c r="A61" s="11" t="s">
        <v>89</v>
      </c>
      <c r="B61" s="20" t="s">
        <v>90</v>
      </c>
      <c r="C61" s="5"/>
      <c r="D61" s="3">
        <f>SUM(D58:D60)</f>
        <v>611504725.64999986</v>
      </c>
      <c r="E61" s="3">
        <f t="shared" ref="E61:H61" si="5">SUM(E58:E60)</f>
        <v>642079961.93249989</v>
      </c>
      <c r="F61" s="3">
        <f t="shared" si="5"/>
        <v>674183960.02912498</v>
      </c>
      <c r="G61" s="3">
        <f t="shared" si="5"/>
        <v>707893158.03058112</v>
      </c>
      <c r="H61" s="3">
        <f t="shared" si="5"/>
        <v>743287815.93211007</v>
      </c>
      <c r="I61" s="6"/>
      <c r="J61" s="16"/>
    </row>
    <row r="62" spans="1:10" ht="18.75">
      <c r="A62" s="11" t="s">
        <v>92</v>
      </c>
      <c r="B62" s="20" t="s">
        <v>91</v>
      </c>
      <c r="C62" s="4"/>
      <c r="D62" s="30">
        <f>((D55+D56)*(1+D57))+D61</f>
        <v>24562767894.26215</v>
      </c>
      <c r="E62" s="30">
        <f>((E55+E56)*(1+E57))+E61</f>
        <v>27414566373.562325</v>
      </c>
      <c r="F62" s="30">
        <f>((F55+F56)*(1+F57))+F61</f>
        <v>29787193627.210281</v>
      </c>
      <c r="G62" s="30">
        <f>((G55+G56)*(1+G57))+G61</f>
        <v>30642449109.002384</v>
      </c>
      <c r="H62" s="30">
        <f>((H55+H56)*(1+H57))+H61</f>
        <v>31484132927.076832</v>
      </c>
      <c r="I62" s="68">
        <f>SUM(D62:H62)</f>
        <v>143891109931.11398</v>
      </c>
    </row>
    <row r="63" spans="1:10" ht="18.75">
      <c r="A63" s="11"/>
      <c r="B63" s="20" t="s">
        <v>181</v>
      </c>
      <c r="C63" s="4"/>
      <c r="D63" s="134">
        <f>+'CMO APS 1'!D102</f>
        <v>34596718.967032552</v>
      </c>
      <c r="E63" s="134">
        <f>+'CMO APS 1'!E102</f>
        <v>35651111.520252764</v>
      </c>
      <c r="F63" s="134">
        <f>+'CMO APS 1'!F102</f>
        <v>32978934.141398873</v>
      </c>
      <c r="G63" s="134">
        <f>+'CMO APS 1'!G102</f>
        <v>34554132.400035679</v>
      </c>
      <c r="H63" s="134">
        <f>+'CMO APS 1'!H102</f>
        <v>34720692.120903134</v>
      </c>
      <c r="I63" s="27"/>
    </row>
    <row r="64" spans="1:10" ht="18.75">
      <c r="A64" s="11"/>
      <c r="B64" s="20" t="s">
        <v>182</v>
      </c>
      <c r="C64" s="4"/>
      <c r="D64" s="134">
        <f>+'CMO APS 2'!D98</f>
        <v>53218637.16557762</v>
      </c>
      <c r="E64" s="134">
        <f>+'CMO APS 2'!E98</f>
        <v>55185859.487246037</v>
      </c>
      <c r="F64" s="134">
        <f>+'CMO APS 2'!F98</f>
        <v>46812029.29821381</v>
      </c>
      <c r="G64" s="134">
        <f>+'CMO APS 2'!G98</f>
        <v>49360276.948968112</v>
      </c>
      <c r="H64" s="134">
        <f>+'CMO APS 2'!H98</f>
        <v>49925863.731153205</v>
      </c>
      <c r="I64" s="27"/>
    </row>
    <row r="65" spans="1:9" ht="18.75">
      <c r="A65" s="11"/>
      <c r="B65" s="20" t="s">
        <v>183</v>
      </c>
      <c r="C65" s="4"/>
      <c r="D65" s="3">
        <f>+'CCP APS 3'!D28</f>
        <v>52623981.551992826</v>
      </c>
      <c r="E65" s="3">
        <f>+'CCP APS 3'!E28</f>
        <v>49598149.221160464</v>
      </c>
      <c r="F65" s="3">
        <f>+'CCP APS 3'!F28</f>
        <v>51720790.293806866</v>
      </c>
      <c r="G65" s="3">
        <f>+'CCP APS 3'!G28</f>
        <v>52357133.29233364</v>
      </c>
      <c r="H65" s="3">
        <f>+'CCP APS 3'!H28</f>
        <v>53003485.649644122</v>
      </c>
      <c r="I65" s="6"/>
    </row>
    <row r="66" spans="1:9" ht="18.75">
      <c r="A66" s="11" t="s">
        <v>118</v>
      </c>
      <c r="B66" s="2" t="s">
        <v>119</v>
      </c>
      <c r="C66" s="4"/>
      <c r="D66" s="30">
        <f>SUM(D63:D65)</f>
        <v>140439337.68460301</v>
      </c>
      <c r="E66" s="30">
        <f t="shared" ref="E66:H66" si="6">SUM(E63:E65)</f>
        <v>140435120.22865927</v>
      </c>
      <c r="F66" s="30">
        <f t="shared" si="6"/>
        <v>131511753.73341955</v>
      </c>
      <c r="G66" s="30">
        <f t="shared" si="6"/>
        <v>136271542.64133742</v>
      </c>
      <c r="H66" s="30">
        <f t="shared" si="6"/>
        <v>137650041.50170046</v>
      </c>
      <c r="I66" s="68">
        <f>SUM(D66:H66)</f>
        <v>686307795.78971958</v>
      </c>
    </row>
    <row r="67" spans="1:9" ht="21">
      <c r="A67" s="11" t="s">
        <v>93</v>
      </c>
      <c r="B67" s="20" t="s">
        <v>94</v>
      </c>
      <c r="C67" s="6"/>
      <c r="D67" s="6"/>
      <c r="E67" s="6"/>
      <c r="F67" s="6"/>
      <c r="G67" s="6"/>
      <c r="H67" s="6"/>
      <c r="I67" s="295">
        <f>I62/I66</f>
        <v>209.65973403455456</v>
      </c>
    </row>
    <row r="69" spans="1:9">
      <c r="D69" s="67"/>
      <c r="E69" s="67"/>
      <c r="F69" s="67"/>
      <c r="G69" s="67"/>
      <c r="H69" s="67"/>
      <c r="I69" s="15"/>
    </row>
  </sheetData>
  <mergeCells count="16">
    <mergeCell ref="B25:F25"/>
    <mergeCell ref="B11:F11"/>
    <mergeCell ref="B12:F12"/>
    <mergeCell ref="B13:F13"/>
    <mergeCell ref="B14:F14"/>
    <mergeCell ref="B15:F15"/>
    <mergeCell ref="B16:F16"/>
    <mergeCell ref="B7:F7"/>
    <mergeCell ref="B8:F8"/>
    <mergeCell ref="B9:F9"/>
    <mergeCell ref="B10:F10"/>
    <mergeCell ref="B2:F2"/>
    <mergeCell ref="B3:F3"/>
    <mergeCell ref="B4:F4"/>
    <mergeCell ref="B5:F5"/>
    <mergeCell ref="B6:F6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2"/>
  <dimension ref="A1:DX176"/>
  <sheetViews>
    <sheetView tabSelected="1" topLeftCell="A25" zoomScaleNormal="100" workbookViewId="0">
      <selection activeCell="E36" sqref="E36"/>
    </sheetView>
  </sheetViews>
  <sheetFormatPr baseColWidth="10" defaultRowHeight="15"/>
  <cols>
    <col min="1" max="1" width="37.28515625" customWidth="1"/>
    <col min="2" max="2" width="23.7109375" bestFit="1" customWidth="1"/>
    <col min="3" max="3" width="14.140625" customWidth="1"/>
    <col min="4" max="4" width="15.140625" bestFit="1" customWidth="1"/>
    <col min="5" max="5" width="14.42578125" bestFit="1" customWidth="1"/>
    <col min="6" max="6" width="12.5703125" bestFit="1" customWidth="1"/>
    <col min="7" max="7" width="14.42578125" bestFit="1" customWidth="1"/>
    <col min="8" max="14" width="12.5703125" bestFit="1" customWidth="1"/>
    <col min="15" max="15" width="15.42578125" bestFit="1" customWidth="1"/>
    <col min="16" max="16" width="13.140625" customWidth="1"/>
  </cols>
  <sheetData>
    <row r="1" spans="1:32" ht="21">
      <c r="A1" s="350" t="s">
        <v>383</v>
      </c>
      <c r="B1" s="350"/>
      <c r="C1" s="350"/>
      <c r="D1" s="350"/>
      <c r="E1" s="350"/>
      <c r="F1" s="350"/>
      <c r="G1" s="350"/>
      <c r="H1" s="350"/>
    </row>
    <row r="3" spans="1:32" s="138" customFormat="1" ht="15.75">
      <c r="A3" s="201"/>
      <c r="B3" s="202" t="s">
        <v>205</v>
      </c>
      <c r="C3" s="201"/>
      <c r="D3" s="201"/>
      <c r="E3" s="201"/>
      <c r="F3" s="201"/>
      <c r="G3" s="201"/>
      <c r="H3" s="201"/>
      <c r="I3" s="201"/>
    </row>
    <row r="6" spans="1:32" ht="15.75" thickBot="1">
      <c r="C6" s="17"/>
      <c r="D6" s="17"/>
      <c r="E6" s="17"/>
      <c r="F6" s="17"/>
      <c r="G6" s="17"/>
    </row>
    <row r="7" spans="1:32">
      <c r="A7" s="164" t="s">
        <v>287</v>
      </c>
      <c r="B7" s="195"/>
      <c r="C7" s="198"/>
      <c r="D7" s="17"/>
      <c r="E7" s="17"/>
      <c r="F7" s="17"/>
      <c r="G7" s="17"/>
    </row>
    <row r="8" spans="1:32">
      <c r="A8" s="165" t="s">
        <v>288</v>
      </c>
      <c r="B8" s="196">
        <v>0.13339999999999999</v>
      </c>
      <c r="C8" s="199"/>
      <c r="D8" s="199"/>
      <c r="E8" s="17"/>
      <c r="F8" s="17"/>
      <c r="G8" s="17"/>
      <c r="P8" s="135"/>
    </row>
    <row r="9" spans="1:32">
      <c r="A9" s="165" t="s">
        <v>289</v>
      </c>
      <c r="B9" s="197">
        <v>100000</v>
      </c>
      <c r="C9" s="200"/>
      <c r="D9" s="17"/>
      <c r="E9" s="17"/>
      <c r="F9" s="17"/>
      <c r="G9" s="17"/>
    </row>
    <row r="10" spans="1:32">
      <c r="A10" s="165" t="s">
        <v>296</v>
      </c>
      <c r="B10" s="197">
        <f>14*B9*12</f>
        <v>16800000</v>
      </c>
      <c r="C10" s="200"/>
      <c r="D10" s="17"/>
      <c r="E10" s="17"/>
      <c r="F10" s="17"/>
      <c r="G10" s="17"/>
    </row>
    <row r="11" spans="1:32">
      <c r="A11" s="17"/>
      <c r="B11" s="32"/>
      <c r="F11" s="15"/>
    </row>
    <row r="13" spans="1:32">
      <c r="A13" s="139" t="s">
        <v>127</v>
      </c>
      <c r="B13" s="139">
        <v>2003</v>
      </c>
      <c r="C13" s="139">
        <f t="shared" ref="C13:AF13" si="0">+B13+1</f>
        <v>2004</v>
      </c>
      <c r="D13" s="139">
        <f t="shared" si="0"/>
        <v>2005</v>
      </c>
      <c r="E13" s="139">
        <f t="shared" si="0"/>
        <v>2006</v>
      </c>
      <c r="F13" s="139">
        <f t="shared" si="0"/>
        <v>2007</v>
      </c>
      <c r="G13" s="139">
        <f t="shared" si="0"/>
        <v>2008</v>
      </c>
      <c r="H13" s="139">
        <f t="shared" si="0"/>
        <v>2009</v>
      </c>
      <c r="I13" s="139">
        <f t="shared" si="0"/>
        <v>2010</v>
      </c>
      <c r="J13" s="139">
        <f t="shared" si="0"/>
        <v>2011</v>
      </c>
      <c r="K13" s="139">
        <f t="shared" si="0"/>
        <v>2012</v>
      </c>
      <c r="L13" s="139">
        <f t="shared" si="0"/>
        <v>2013</v>
      </c>
      <c r="M13" s="139">
        <f t="shared" si="0"/>
        <v>2014</v>
      </c>
      <c r="N13" s="139">
        <f t="shared" si="0"/>
        <v>2015</v>
      </c>
      <c r="O13" s="139">
        <f t="shared" si="0"/>
        <v>2016</v>
      </c>
      <c r="P13" s="139">
        <f t="shared" si="0"/>
        <v>2017</v>
      </c>
      <c r="Q13" s="139">
        <f t="shared" si="0"/>
        <v>2018</v>
      </c>
      <c r="R13" s="139">
        <f t="shared" si="0"/>
        <v>2019</v>
      </c>
      <c r="S13" s="139">
        <f t="shared" si="0"/>
        <v>2020</v>
      </c>
      <c r="T13" s="139">
        <f t="shared" si="0"/>
        <v>2021</v>
      </c>
      <c r="U13" s="139">
        <f t="shared" si="0"/>
        <v>2022</v>
      </c>
      <c r="V13" s="139">
        <f t="shared" si="0"/>
        <v>2023</v>
      </c>
      <c r="W13" s="139">
        <f t="shared" si="0"/>
        <v>2024</v>
      </c>
      <c r="X13" s="139">
        <f t="shared" si="0"/>
        <v>2025</v>
      </c>
      <c r="Y13" s="139">
        <f t="shared" si="0"/>
        <v>2026</v>
      </c>
      <c r="Z13" s="139">
        <f t="shared" si="0"/>
        <v>2027</v>
      </c>
      <c r="AA13" s="139">
        <f t="shared" si="0"/>
        <v>2028</v>
      </c>
      <c r="AB13" s="139">
        <f t="shared" si="0"/>
        <v>2029</v>
      </c>
      <c r="AC13" s="139">
        <f t="shared" si="0"/>
        <v>2030</v>
      </c>
      <c r="AD13" s="139">
        <f t="shared" si="0"/>
        <v>2031</v>
      </c>
      <c r="AE13" s="139">
        <f t="shared" si="0"/>
        <v>2032</v>
      </c>
      <c r="AF13" s="139">
        <f t="shared" si="0"/>
        <v>2033</v>
      </c>
    </row>
    <row r="14" spans="1:32">
      <c r="B14" s="166" t="s">
        <v>290</v>
      </c>
      <c r="C14">
        <v>1</v>
      </c>
      <c r="D14">
        <v>2</v>
      </c>
      <c r="E14">
        <v>3</v>
      </c>
      <c r="F14">
        <v>4</v>
      </c>
      <c r="G14">
        <v>5</v>
      </c>
      <c r="H14">
        <v>6</v>
      </c>
      <c r="I14">
        <v>7</v>
      </c>
      <c r="J14">
        <v>8</v>
      </c>
      <c r="K14">
        <v>9</v>
      </c>
      <c r="L14">
        <v>10</v>
      </c>
      <c r="M14">
        <v>11</v>
      </c>
      <c r="N14">
        <v>12</v>
      </c>
      <c r="O14">
        <v>13</v>
      </c>
      <c r="P14">
        <v>14</v>
      </c>
      <c r="Q14">
        <v>15</v>
      </c>
      <c r="R14">
        <v>16</v>
      </c>
      <c r="S14">
        <v>17</v>
      </c>
      <c r="T14">
        <v>18</v>
      </c>
      <c r="U14">
        <v>19</v>
      </c>
      <c r="V14">
        <v>20</v>
      </c>
      <c r="W14">
        <v>21</v>
      </c>
      <c r="X14">
        <v>22</v>
      </c>
      <c r="Y14">
        <v>23</v>
      </c>
      <c r="Z14">
        <v>24</v>
      </c>
      <c r="AA14">
        <v>25</v>
      </c>
      <c r="AB14">
        <v>26</v>
      </c>
      <c r="AC14">
        <v>27</v>
      </c>
      <c r="AD14">
        <v>28</v>
      </c>
      <c r="AE14">
        <v>29</v>
      </c>
      <c r="AF14">
        <v>30</v>
      </c>
    </row>
    <row r="16" spans="1:32" ht="15.75" thickBot="1">
      <c r="A16" s="167" t="s">
        <v>297</v>
      </c>
      <c r="B16" s="168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70" t="s">
        <v>291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1:128">
      <c r="A17" s="171" t="s">
        <v>127</v>
      </c>
      <c r="B17" s="172">
        <v>2003</v>
      </c>
      <c r="C17" s="172">
        <f t="shared" ref="C17:AF17" si="1">+B17+1</f>
        <v>2004</v>
      </c>
      <c r="D17" s="172">
        <f t="shared" si="1"/>
        <v>2005</v>
      </c>
      <c r="E17" s="172">
        <f t="shared" si="1"/>
        <v>2006</v>
      </c>
      <c r="F17" s="172">
        <f t="shared" si="1"/>
        <v>2007</v>
      </c>
      <c r="G17" s="172">
        <f t="shared" si="1"/>
        <v>2008</v>
      </c>
      <c r="H17" s="172">
        <f t="shared" si="1"/>
        <v>2009</v>
      </c>
      <c r="I17" s="172">
        <f t="shared" si="1"/>
        <v>2010</v>
      </c>
      <c r="J17" s="172">
        <f t="shared" si="1"/>
        <v>2011</v>
      </c>
      <c r="K17" s="172">
        <f t="shared" si="1"/>
        <v>2012</v>
      </c>
      <c r="L17" s="172">
        <f t="shared" si="1"/>
        <v>2013</v>
      </c>
      <c r="M17" s="172">
        <f t="shared" si="1"/>
        <v>2014</v>
      </c>
      <c r="N17" s="173">
        <f t="shared" si="1"/>
        <v>2015</v>
      </c>
      <c r="O17" s="139">
        <f t="shared" si="1"/>
        <v>2016</v>
      </c>
      <c r="P17" s="139">
        <f t="shared" si="1"/>
        <v>2017</v>
      </c>
      <c r="Q17" s="139">
        <f t="shared" si="1"/>
        <v>2018</v>
      </c>
      <c r="R17" s="139">
        <f t="shared" si="1"/>
        <v>2019</v>
      </c>
      <c r="S17" s="139">
        <f t="shared" si="1"/>
        <v>2020</v>
      </c>
      <c r="T17" s="139">
        <f t="shared" si="1"/>
        <v>2021</v>
      </c>
      <c r="U17" s="139">
        <f t="shared" si="1"/>
        <v>2022</v>
      </c>
      <c r="V17" s="139">
        <f t="shared" si="1"/>
        <v>2023</v>
      </c>
      <c r="W17" s="139">
        <f t="shared" si="1"/>
        <v>2024</v>
      </c>
      <c r="X17" s="139">
        <f t="shared" si="1"/>
        <v>2025</v>
      </c>
      <c r="Y17" s="139">
        <f t="shared" si="1"/>
        <v>2026</v>
      </c>
      <c r="Z17" s="139">
        <f t="shared" si="1"/>
        <v>2027</v>
      </c>
      <c r="AA17" s="139">
        <f t="shared" si="1"/>
        <v>2028</v>
      </c>
      <c r="AB17" s="139">
        <f t="shared" si="1"/>
        <v>2029</v>
      </c>
      <c r="AC17" s="139">
        <f t="shared" si="1"/>
        <v>2030</v>
      </c>
      <c r="AD17" s="139">
        <f t="shared" si="1"/>
        <v>2031</v>
      </c>
      <c r="AE17" s="139">
        <f t="shared" si="1"/>
        <v>2032</v>
      </c>
      <c r="AF17" s="139">
        <f t="shared" si="1"/>
        <v>2033</v>
      </c>
    </row>
    <row r="18" spans="1:128">
      <c r="A18" s="174"/>
      <c r="B18" s="175" t="s">
        <v>290</v>
      </c>
      <c r="C18" s="176">
        <v>1</v>
      </c>
      <c r="D18" s="176">
        <v>2</v>
      </c>
      <c r="E18" s="176">
        <v>3</v>
      </c>
      <c r="F18" s="176">
        <v>4</v>
      </c>
      <c r="G18" s="176">
        <v>5</v>
      </c>
      <c r="H18" s="176">
        <v>6</v>
      </c>
      <c r="I18" s="176">
        <v>7</v>
      </c>
      <c r="J18" s="176">
        <v>8</v>
      </c>
      <c r="K18" s="176">
        <v>9</v>
      </c>
      <c r="L18" s="176">
        <v>10</v>
      </c>
      <c r="M18" s="176">
        <v>11</v>
      </c>
      <c r="N18" s="177">
        <v>12</v>
      </c>
      <c r="O18" s="136">
        <v>13</v>
      </c>
      <c r="P18">
        <v>14</v>
      </c>
      <c r="Q18">
        <v>15</v>
      </c>
      <c r="R18">
        <v>16</v>
      </c>
      <c r="S18">
        <v>17</v>
      </c>
      <c r="T18">
        <v>18</v>
      </c>
      <c r="U18">
        <v>19</v>
      </c>
      <c r="V18">
        <v>20</v>
      </c>
      <c r="W18">
        <v>21</v>
      </c>
      <c r="X18">
        <v>22</v>
      </c>
      <c r="Y18">
        <v>23</v>
      </c>
      <c r="Z18">
        <v>24</v>
      </c>
      <c r="AA18">
        <v>25</v>
      </c>
      <c r="AB18">
        <v>26</v>
      </c>
      <c r="AC18">
        <v>27</v>
      </c>
      <c r="AD18">
        <v>28</v>
      </c>
      <c r="AE18">
        <v>29</v>
      </c>
      <c r="AF18">
        <v>30</v>
      </c>
    </row>
    <row r="19" spans="1:128">
      <c r="A19" s="178" t="s">
        <v>213</v>
      </c>
      <c r="B19" s="179">
        <f>NPV($B$8,C19:N19)</f>
        <v>4852655726.1337566</v>
      </c>
      <c r="C19" s="247">
        <v>5500000000</v>
      </c>
      <c r="D19" s="247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0</v>
      </c>
      <c r="M19" s="247">
        <v>0</v>
      </c>
      <c r="N19" s="247">
        <v>0</v>
      </c>
      <c r="O19" s="189">
        <f t="shared" ref="O19:O24" si="2">+B19/$B$25*$B$37*(1+$B$8)^($B$39)*$B$38</f>
        <v>8567673464.0315104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6"/>
      <c r="AH19" s="16"/>
    </row>
    <row r="20" spans="1:128">
      <c r="A20" s="178" t="s">
        <v>214</v>
      </c>
      <c r="B20" s="179">
        <f t="shared" ref="B20:B24" si="3">NPV($B$8,C20:N20)</f>
        <v>655814363.8609494</v>
      </c>
      <c r="C20" s="247">
        <v>743300000</v>
      </c>
      <c r="D20" s="247">
        <v>0</v>
      </c>
      <c r="E20" s="247">
        <v>0</v>
      </c>
      <c r="F20" s="247">
        <v>0</v>
      </c>
      <c r="G20" s="247">
        <v>0</v>
      </c>
      <c r="H20" s="247">
        <v>0</v>
      </c>
      <c r="I20" s="247">
        <v>0</v>
      </c>
      <c r="J20" s="247">
        <v>0</v>
      </c>
      <c r="K20" s="247">
        <v>0</v>
      </c>
      <c r="L20" s="247">
        <v>0</v>
      </c>
      <c r="M20" s="247">
        <v>0</v>
      </c>
      <c r="N20" s="247">
        <v>0</v>
      </c>
      <c r="O20" s="189">
        <f t="shared" si="2"/>
        <v>1157882124.693568</v>
      </c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6"/>
      <c r="AH20" s="16"/>
    </row>
    <row r="21" spans="1:128">
      <c r="A21" s="178" t="s">
        <v>215</v>
      </c>
      <c r="B21" s="179">
        <f t="shared" si="3"/>
        <v>963472736.89782953</v>
      </c>
      <c r="C21" s="247">
        <v>1092000000</v>
      </c>
      <c r="D21" s="247">
        <v>0</v>
      </c>
      <c r="E21" s="247">
        <v>0</v>
      </c>
      <c r="F21" s="247">
        <v>0</v>
      </c>
      <c r="G21" s="247">
        <v>0</v>
      </c>
      <c r="H21" s="247">
        <v>0</v>
      </c>
      <c r="I21" s="247">
        <v>0</v>
      </c>
      <c r="J21" s="247">
        <v>0</v>
      </c>
      <c r="K21" s="247">
        <v>0</v>
      </c>
      <c r="L21" s="247">
        <v>0</v>
      </c>
      <c r="M21" s="247">
        <v>0</v>
      </c>
      <c r="N21" s="247">
        <v>0</v>
      </c>
      <c r="O21" s="189">
        <f t="shared" si="2"/>
        <v>1701072622.3131657</v>
      </c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6"/>
      <c r="AH21" s="16"/>
    </row>
    <row r="22" spans="1:128">
      <c r="A22" s="178" t="s">
        <v>216</v>
      </c>
      <c r="B22" s="179">
        <f t="shared" si="3"/>
        <v>39676300920.734932</v>
      </c>
      <c r="C22" s="247">
        <v>0</v>
      </c>
      <c r="D22" s="247">
        <v>50968000000</v>
      </c>
      <c r="E22" s="247">
        <v>0</v>
      </c>
      <c r="F22" s="247">
        <v>0</v>
      </c>
      <c r="G22" s="247">
        <v>0</v>
      </c>
      <c r="H22" s="247">
        <v>0</v>
      </c>
      <c r="I22" s="247">
        <v>0</v>
      </c>
      <c r="J22" s="247">
        <v>0</v>
      </c>
      <c r="K22" s="247">
        <v>0</v>
      </c>
      <c r="L22" s="247">
        <v>0</v>
      </c>
      <c r="M22" s="247">
        <v>0</v>
      </c>
      <c r="N22" s="247">
        <v>0</v>
      </c>
      <c r="O22" s="189">
        <f t="shared" si="2"/>
        <v>70051042096.148056</v>
      </c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6"/>
      <c r="AH22" s="16"/>
    </row>
    <row r="23" spans="1:128">
      <c r="A23" s="178" t="s">
        <v>217</v>
      </c>
      <c r="B23" s="179">
        <f t="shared" si="3"/>
        <v>6735759160.0402603</v>
      </c>
      <c r="C23" s="247">
        <v>0</v>
      </c>
      <c r="D23" s="247">
        <v>0</v>
      </c>
      <c r="E23" s="247">
        <v>9807000000</v>
      </c>
      <c r="F23" s="247">
        <v>0</v>
      </c>
      <c r="G23" s="247">
        <v>0</v>
      </c>
      <c r="H23" s="247">
        <v>0</v>
      </c>
      <c r="I23" s="247">
        <v>0</v>
      </c>
      <c r="J23" s="247">
        <v>0</v>
      </c>
      <c r="K23" s="247">
        <v>0</v>
      </c>
      <c r="L23" s="247">
        <v>0</v>
      </c>
      <c r="M23" s="247">
        <v>0</v>
      </c>
      <c r="N23" s="247">
        <v>0</v>
      </c>
      <c r="O23" s="189">
        <f t="shared" si="2"/>
        <v>11892412788.48419</v>
      </c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6"/>
      <c r="AH23" s="16"/>
    </row>
    <row r="24" spans="1:128">
      <c r="A24" s="178" t="s">
        <v>218</v>
      </c>
      <c r="B24" s="179">
        <f t="shared" si="3"/>
        <v>1748418380.9845121</v>
      </c>
      <c r="C24" s="249">
        <v>300000000</v>
      </c>
      <c r="D24" s="249">
        <v>300000000</v>
      </c>
      <c r="E24" s="249">
        <v>300000000</v>
      </c>
      <c r="F24" s="249">
        <v>300000000</v>
      </c>
      <c r="G24" s="249">
        <v>300000000</v>
      </c>
      <c r="H24" s="249">
        <v>300000000</v>
      </c>
      <c r="I24" s="249">
        <v>300000000</v>
      </c>
      <c r="J24" s="249">
        <v>300000000</v>
      </c>
      <c r="K24" s="249">
        <v>300000000</v>
      </c>
      <c r="L24" s="249">
        <v>300000000</v>
      </c>
      <c r="M24" s="249">
        <v>300000000</v>
      </c>
      <c r="N24" s="249">
        <v>300000000</v>
      </c>
      <c r="O24" s="189">
        <f t="shared" si="2"/>
        <v>3086944265.6136708</v>
      </c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6"/>
      <c r="AH24" s="16"/>
    </row>
    <row r="25" spans="1:128" ht="15.75" thickBot="1">
      <c r="A25" s="180" t="s">
        <v>292</v>
      </c>
      <c r="B25" s="181">
        <f t="shared" ref="B25:O25" si="4">SUM(B19:B24)</f>
        <v>54632421288.652245</v>
      </c>
      <c r="C25" s="250">
        <f t="shared" si="4"/>
        <v>7635300000</v>
      </c>
      <c r="D25" s="250">
        <f t="shared" si="4"/>
        <v>51268000000</v>
      </c>
      <c r="E25" s="250">
        <f t="shared" si="4"/>
        <v>10107000000</v>
      </c>
      <c r="F25" s="251">
        <f t="shared" si="4"/>
        <v>300000000</v>
      </c>
      <c r="G25" s="251">
        <f t="shared" si="4"/>
        <v>300000000</v>
      </c>
      <c r="H25" s="251">
        <f t="shared" si="4"/>
        <v>300000000</v>
      </c>
      <c r="I25" s="251">
        <f t="shared" si="4"/>
        <v>300000000</v>
      </c>
      <c r="J25" s="251">
        <f t="shared" si="4"/>
        <v>300000000</v>
      </c>
      <c r="K25" s="251">
        <f t="shared" si="4"/>
        <v>300000000</v>
      </c>
      <c r="L25" s="251">
        <f t="shared" si="4"/>
        <v>300000000</v>
      </c>
      <c r="M25" s="251">
        <f t="shared" si="4"/>
        <v>300000000</v>
      </c>
      <c r="N25" s="252">
        <f t="shared" si="4"/>
        <v>300000000</v>
      </c>
      <c r="O25" s="189">
        <f t="shared" si="4"/>
        <v>96457027361.284164</v>
      </c>
      <c r="P25" s="140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16"/>
      <c r="AH25" s="16"/>
    </row>
    <row r="26" spans="1:128">
      <c r="A26" s="183" t="s">
        <v>298</v>
      </c>
      <c r="B26" s="182">
        <f>B25+(B25*10%)</f>
        <v>60095663417.517471</v>
      </c>
      <c r="C26" s="137"/>
      <c r="D26" s="137"/>
      <c r="E26" s="137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</row>
    <row r="27" spans="1:128">
      <c r="O27" s="67"/>
    </row>
    <row r="28" spans="1:128">
      <c r="A28" s="184" t="s">
        <v>306</v>
      </c>
      <c r="B28" s="188">
        <f>NPV($B$8,C28:O28)</f>
        <v>119096667.69793388</v>
      </c>
      <c r="C28" s="188">
        <f>+B10*(1+0.03)</f>
        <v>17304000</v>
      </c>
      <c r="D28" s="188">
        <f>+C28*(1+0.03)</f>
        <v>17823120</v>
      </c>
      <c r="E28" s="188">
        <f t="shared" ref="E28:AF28" si="5">+D28*(1+0.03)</f>
        <v>18357813.600000001</v>
      </c>
      <c r="F28" s="188">
        <f t="shared" si="5"/>
        <v>18908548.008000001</v>
      </c>
      <c r="G28" s="188">
        <f t="shared" si="5"/>
        <v>19475804.448240001</v>
      </c>
      <c r="H28" s="188">
        <f t="shared" si="5"/>
        <v>20060078.581687201</v>
      </c>
      <c r="I28" s="188">
        <f t="shared" si="5"/>
        <v>20661880.939137816</v>
      </c>
      <c r="J28" s="188">
        <f t="shared" si="5"/>
        <v>21281737.367311951</v>
      </c>
      <c r="K28" s="188">
        <f t="shared" si="5"/>
        <v>21920189.48833131</v>
      </c>
      <c r="L28" s="188">
        <f t="shared" si="5"/>
        <v>22577795.172981251</v>
      </c>
      <c r="M28" s="188">
        <f t="shared" si="5"/>
        <v>23255129.02817069</v>
      </c>
      <c r="N28" s="188">
        <f t="shared" si="5"/>
        <v>23952782.89901581</v>
      </c>
      <c r="O28" s="188">
        <f t="shared" si="5"/>
        <v>24671366.385986287</v>
      </c>
      <c r="P28" s="188">
        <f t="shared" si="5"/>
        <v>25411507.377565876</v>
      </c>
      <c r="Q28" s="188">
        <f t="shared" si="5"/>
        <v>26173852.598892853</v>
      </c>
      <c r="R28" s="188">
        <f t="shared" si="5"/>
        <v>26959068.17685964</v>
      </c>
      <c r="S28" s="188">
        <f t="shared" si="5"/>
        <v>27767840.222165428</v>
      </c>
      <c r="T28" s="188">
        <f t="shared" si="5"/>
        <v>28600875.428830393</v>
      </c>
      <c r="U28" s="188">
        <f t="shared" si="5"/>
        <v>29458901.691695306</v>
      </c>
      <c r="V28" s="188">
        <f t="shared" si="5"/>
        <v>30342668.742446166</v>
      </c>
      <c r="W28" s="188">
        <f t="shared" si="5"/>
        <v>31252948.804719552</v>
      </c>
      <c r="X28" s="188">
        <f t="shared" si="5"/>
        <v>32190537.268861141</v>
      </c>
      <c r="Y28" s="188">
        <f t="shared" si="5"/>
        <v>33156253.386926975</v>
      </c>
      <c r="Z28" s="188">
        <f t="shared" si="5"/>
        <v>34150940.988534786</v>
      </c>
      <c r="AA28" s="188">
        <f t="shared" si="5"/>
        <v>35175469.218190834</v>
      </c>
      <c r="AB28" s="188">
        <f t="shared" si="5"/>
        <v>36230733.294736557</v>
      </c>
      <c r="AC28" s="188">
        <f t="shared" si="5"/>
        <v>37317655.293578655</v>
      </c>
      <c r="AD28" s="188">
        <f t="shared" si="5"/>
        <v>38437184.952386014</v>
      </c>
      <c r="AE28" s="188">
        <f t="shared" si="5"/>
        <v>39590300.500957593</v>
      </c>
      <c r="AF28" s="188">
        <f t="shared" si="5"/>
        <v>40778009.515986323</v>
      </c>
    </row>
    <row r="29" spans="1:128">
      <c r="A29" s="184" t="s">
        <v>305</v>
      </c>
      <c r="B29" s="188">
        <f>NPV($B$8,C29:N29)</f>
        <v>82557426.762307703</v>
      </c>
      <c r="C29" s="187">
        <v>0</v>
      </c>
      <c r="D29" s="187">
        <v>0</v>
      </c>
      <c r="E29" s="186">
        <f>E28*97%</f>
        <v>17807079.192000002</v>
      </c>
      <c r="F29" s="186">
        <f t="shared" ref="F29:N29" si="6">F28*97%</f>
        <v>18341291.567760002</v>
      </c>
      <c r="G29" s="186">
        <f t="shared" si="6"/>
        <v>18891530.314792801</v>
      </c>
      <c r="H29" s="186">
        <f t="shared" si="6"/>
        <v>19458276.224236585</v>
      </c>
      <c r="I29" s="186">
        <f t="shared" si="6"/>
        <v>20042024.510963682</v>
      </c>
      <c r="J29" s="186">
        <f t="shared" si="6"/>
        <v>20643285.246292591</v>
      </c>
      <c r="K29" s="186">
        <f t="shared" si="6"/>
        <v>21262583.80368137</v>
      </c>
      <c r="L29" s="186">
        <f t="shared" si="6"/>
        <v>21900461.317791812</v>
      </c>
      <c r="M29" s="186">
        <f t="shared" si="6"/>
        <v>22557475.15732557</v>
      </c>
      <c r="N29" s="186">
        <f t="shared" si="6"/>
        <v>23234199.412045334</v>
      </c>
      <c r="O29" s="186">
        <f>O28*97%/2</f>
        <v>11965612.697203349</v>
      </c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</row>
    <row r="30" spans="1:128">
      <c r="A30" s="16"/>
      <c r="B30" s="32"/>
      <c r="C30" s="17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17"/>
      <c r="Q30" s="17"/>
      <c r="R30" s="17"/>
      <c r="S30" s="17"/>
      <c r="T30" s="17"/>
      <c r="U30" s="17"/>
      <c r="V30" s="17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128" s="190" customFormat="1">
      <c r="A31" s="191" t="s">
        <v>293</v>
      </c>
      <c r="B31" s="192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</row>
    <row r="32" spans="1:128" s="190" customFormat="1">
      <c r="A32" s="193" t="s">
        <v>294</v>
      </c>
      <c r="B32" s="192">
        <f>+B26</f>
        <v>60095663417.517471</v>
      </c>
      <c r="C32" s="203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</row>
    <row r="33" spans="1:128" s="190" customFormat="1">
      <c r="A33" s="193" t="s">
        <v>299</v>
      </c>
      <c r="B33" s="192">
        <f>+B28</f>
        <v>119096667.69793388</v>
      </c>
      <c r="C33" s="203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</row>
    <row r="34" spans="1:128" s="190" customFormat="1">
      <c r="A34" s="193" t="s">
        <v>300</v>
      </c>
      <c r="B34" s="192">
        <f>+B29</f>
        <v>82557426.762307703</v>
      </c>
      <c r="C34" s="16"/>
      <c r="D34" s="203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</row>
    <row r="35" spans="1:128" s="190" customFormat="1">
      <c r="A35" s="193" t="s">
        <v>301</v>
      </c>
      <c r="B35" s="192">
        <f>+B25</f>
        <v>54632421288.652245</v>
      </c>
      <c r="C35" s="203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</row>
    <row r="36" spans="1:128" s="190" customFormat="1">
      <c r="A36" s="193" t="s">
        <v>302</v>
      </c>
      <c r="B36" s="192">
        <f>+B32/B33*B34</f>
        <v>41658120476.615685</v>
      </c>
      <c r="C36" s="203"/>
      <c r="D36" s="203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</row>
    <row r="37" spans="1:128" s="190" customFormat="1">
      <c r="A37" s="193" t="s">
        <v>303</v>
      </c>
      <c r="B37" s="192">
        <f>+B35-B36</f>
        <v>12974300812.03656</v>
      </c>
      <c r="C37" s="203"/>
      <c r="D37" s="137"/>
      <c r="E37" s="13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</row>
    <row r="38" spans="1:128" s="190" customFormat="1">
      <c r="A38" s="193" t="s">
        <v>295</v>
      </c>
      <c r="B38" s="193">
        <f>118.15166 /76.02913</f>
        <v>1.5540314613622439</v>
      </c>
      <c r="C38" s="16"/>
      <c r="D38" s="140"/>
      <c r="E38" s="203"/>
      <c r="F38" s="203"/>
      <c r="G38" s="203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</row>
    <row r="39" spans="1:128" s="190" customFormat="1">
      <c r="A39" s="193" t="s">
        <v>304</v>
      </c>
      <c r="B39" s="193">
        <f>((12*12)+6)/12</f>
        <v>12.5</v>
      </c>
      <c r="C39" s="16"/>
      <c r="D39" s="140"/>
      <c r="E39" s="203"/>
      <c r="F39" s="203"/>
      <c r="G39" s="203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</row>
    <row r="40" spans="1:128" s="190" customFormat="1">
      <c r="A40" s="193" t="s">
        <v>435</v>
      </c>
      <c r="B40" s="193">
        <v>1</v>
      </c>
      <c r="C40" s="16" t="s">
        <v>436</v>
      </c>
      <c r="D40" s="140"/>
      <c r="E40" s="203"/>
      <c r="F40" s="203"/>
      <c r="G40" s="203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</row>
    <row r="41" spans="1:128" s="190" customFormat="1">
      <c r="A41" s="193"/>
      <c r="B41" s="391">
        <f>+B37*(1+$B$8)^(B39)*B38*B40</f>
        <v>96457027361.28418</v>
      </c>
      <c r="C41" s="16"/>
      <c r="D41" s="16"/>
      <c r="E41" s="16"/>
      <c r="F41" s="16"/>
      <c r="G41" s="203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</row>
    <row r="42" spans="1:128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204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</row>
    <row r="43" spans="1:128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</row>
    <row r="44" spans="1:128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</row>
    <row r="46" spans="1:128" s="138" customFormat="1" ht="15.75">
      <c r="A46" s="201"/>
      <c r="B46" s="202" t="s">
        <v>208</v>
      </c>
      <c r="C46" s="201"/>
      <c r="D46" s="201"/>
      <c r="E46" s="201"/>
      <c r="F46" s="201"/>
      <c r="G46" s="201"/>
      <c r="H46" s="201"/>
      <c r="I46" s="201"/>
    </row>
    <row r="49" spans="1:9" ht="15.75" thickBot="1"/>
    <row r="50" spans="1:9">
      <c r="A50" s="381" t="s">
        <v>307</v>
      </c>
      <c r="B50" s="381" t="s">
        <v>209</v>
      </c>
      <c r="C50" s="381" t="s">
        <v>308</v>
      </c>
      <c r="D50" s="381" t="s">
        <v>309</v>
      </c>
      <c r="E50" s="381" t="s">
        <v>310</v>
      </c>
      <c r="F50" s="206" t="s">
        <v>311</v>
      </c>
    </row>
    <row r="51" spans="1:9" ht="15.75" thickBot="1">
      <c r="A51" s="382"/>
      <c r="B51" s="382"/>
      <c r="C51" s="382"/>
      <c r="D51" s="382"/>
      <c r="E51" s="382"/>
      <c r="F51" s="207" t="s">
        <v>312</v>
      </c>
    </row>
    <row r="52" spans="1:9" ht="15.75" thickBot="1">
      <c r="A52" s="208" t="s">
        <v>192</v>
      </c>
      <c r="B52" s="209" t="s">
        <v>210</v>
      </c>
      <c r="C52" s="210">
        <v>20000000</v>
      </c>
      <c r="D52" s="212">
        <v>37956</v>
      </c>
      <c r="E52" s="213">
        <v>76.03</v>
      </c>
      <c r="F52" s="234">
        <f>C52*($B$58/E52)</f>
        <v>31079836.906484284</v>
      </c>
    </row>
    <row r="53" spans="1:9" ht="15.75" thickBot="1">
      <c r="A53" s="208" t="s">
        <v>313</v>
      </c>
      <c r="B53" s="209" t="s">
        <v>314</v>
      </c>
      <c r="C53" s="210">
        <v>15000000</v>
      </c>
      <c r="D53" s="212">
        <v>37956</v>
      </c>
      <c r="E53" s="213">
        <v>76.03</v>
      </c>
      <c r="F53" s="234">
        <f t="shared" ref="F53:F55" si="7">C53*($B$58/E53)</f>
        <v>23309877.679863211</v>
      </c>
    </row>
    <row r="54" spans="1:9" ht="15.75" thickBot="1">
      <c r="A54" s="208" t="s">
        <v>193</v>
      </c>
      <c r="B54" s="209" t="s">
        <v>210</v>
      </c>
      <c r="C54" s="210">
        <v>8000000</v>
      </c>
      <c r="D54" s="212">
        <v>37956</v>
      </c>
      <c r="E54" s="213">
        <v>76.03</v>
      </c>
      <c r="F54" s="234">
        <f t="shared" si="7"/>
        <v>12431934.762593713</v>
      </c>
    </row>
    <row r="55" spans="1:9" ht="15.75" thickBot="1">
      <c r="A55" s="208" t="s">
        <v>313</v>
      </c>
      <c r="B55" s="209" t="s">
        <v>210</v>
      </c>
      <c r="C55" s="210">
        <v>12000000</v>
      </c>
      <c r="D55" s="212">
        <v>41791</v>
      </c>
      <c r="E55" s="213">
        <v>116.91</v>
      </c>
      <c r="F55" s="234">
        <f t="shared" si="7"/>
        <v>12127277.39286631</v>
      </c>
    </row>
    <row r="56" spans="1:9" ht="15.75" thickBot="1">
      <c r="A56" s="214" t="s">
        <v>315</v>
      </c>
      <c r="B56" s="215"/>
      <c r="C56" s="216">
        <f>SUM(C52:C55)</f>
        <v>55000000</v>
      </c>
      <c r="D56" s="217"/>
      <c r="E56" s="217"/>
      <c r="F56" s="237">
        <f>SUM(F52:F55)</f>
        <v>78948926.74180752</v>
      </c>
    </row>
    <row r="57" spans="1:9" ht="15.75" thickBot="1"/>
    <row r="58" spans="1:9" ht="15.75" thickBot="1">
      <c r="A58" s="218" t="s">
        <v>316</v>
      </c>
      <c r="B58" s="389">
        <v>118.15</v>
      </c>
      <c r="C58" t="s">
        <v>434</v>
      </c>
    </row>
    <row r="62" spans="1:9" s="138" customFormat="1" ht="15.75">
      <c r="A62" s="201"/>
      <c r="B62" s="202" t="s">
        <v>322</v>
      </c>
      <c r="C62" s="201"/>
      <c r="D62" s="201"/>
      <c r="E62" s="201"/>
      <c r="F62" s="201"/>
      <c r="G62" s="201"/>
      <c r="H62" s="201"/>
      <c r="I62" s="201"/>
    </row>
    <row r="65" spans="1:12" ht="15.75" thickBot="1">
      <c r="C65" s="230">
        <v>42887</v>
      </c>
      <c r="D65" s="230">
        <v>43252</v>
      </c>
      <c r="E65" s="230">
        <v>43617</v>
      </c>
      <c r="F65" s="230">
        <v>43983</v>
      </c>
      <c r="G65" s="230">
        <v>44348</v>
      </c>
      <c r="H65" s="230">
        <v>44713</v>
      </c>
      <c r="I65" s="230">
        <v>45078</v>
      </c>
      <c r="J65" s="230">
        <v>45444</v>
      </c>
      <c r="K65" s="230">
        <v>45809</v>
      </c>
      <c r="L65" s="230">
        <v>46174</v>
      </c>
    </row>
    <row r="66" spans="1:12" ht="15.75" thickBot="1">
      <c r="A66" s="220" t="s">
        <v>211</v>
      </c>
      <c r="B66" s="221" t="s">
        <v>317</v>
      </c>
      <c r="C66" s="221" t="s">
        <v>195</v>
      </c>
      <c r="D66" s="221" t="s">
        <v>196</v>
      </c>
      <c r="E66" s="221" t="s">
        <v>197</v>
      </c>
      <c r="F66" s="221" t="s">
        <v>198</v>
      </c>
      <c r="G66" s="221" t="s">
        <v>199</v>
      </c>
      <c r="H66" s="221" t="s">
        <v>200</v>
      </c>
      <c r="I66" s="221" t="s">
        <v>201</v>
      </c>
      <c r="J66" s="221" t="s">
        <v>202</v>
      </c>
      <c r="K66" s="221" t="s">
        <v>203</v>
      </c>
      <c r="L66" s="221" t="s">
        <v>204</v>
      </c>
    </row>
    <row r="67" spans="1:12">
      <c r="A67" s="222" t="s">
        <v>318</v>
      </c>
      <c r="B67" s="253">
        <f>SUM(C67:L67)</f>
        <v>58000000000</v>
      </c>
      <c r="C67" s="254">
        <v>0</v>
      </c>
      <c r="D67" s="253">
        <v>58000000000</v>
      </c>
      <c r="E67" s="254">
        <v>0</v>
      </c>
      <c r="F67" s="254">
        <v>0</v>
      </c>
      <c r="G67" s="254">
        <v>0</v>
      </c>
      <c r="H67" s="255">
        <v>0</v>
      </c>
      <c r="I67" s="255">
        <v>0</v>
      </c>
      <c r="J67" s="255">
        <v>0</v>
      </c>
      <c r="K67" s="255">
        <v>0</v>
      </c>
      <c r="L67" s="255">
        <v>0</v>
      </c>
    </row>
    <row r="68" spans="1:12">
      <c r="A68" s="222" t="s">
        <v>319</v>
      </c>
      <c r="B68" s="253">
        <f t="shared" ref="B68:B70" si="8">SUM(C68:L68)</f>
        <v>100000000000</v>
      </c>
      <c r="C68" s="254">
        <v>0</v>
      </c>
      <c r="D68" s="254">
        <v>0</v>
      </c>
      <c r="E68" s="253">
        <v>100000000000</v>
      </c>
      <c r="F68" s="254">
        <v>0</v>
      </c>
      <c r="G68" s="335">
        <v>0</v>
      </c>
      <c r="H68" s="336">
        <v>0</v>
      </c>
      <c r="I68" s="255">
        <v>0</v>
      </c>
      <c r="J68" s="255">
        <v>0</v>
      </c>
      <c r="K68" s="255">
        <v>0</v>
      </c>
      <c r="L68" s="255">
        <v>0</v>
      </c>
    </row>
    <row r="69" spans="1:12">
      <c r="A69" s="222" t="s">
        <v>320</v>
      </c>
      <c r="B69" s="253">
        <f t="shared" si="8"/>
        <v>2500000000</v>
      </c>
      <c r="C69" s="254">
        <v>0</v>
      </c>
      <c r="D69" s="254">
        <v>0</v>
      </c>
      <c r="E69" s="254">
        <v>0</v>
      </c>
      <c r="F69" s="254">
        <v>0</v>
      </c>
      <c r="G69" s="329">
        <v>2500000000</v>
      </c>
      <c r="H69" s="329"/>
      <c r="I69" s="255">
        <v>0</v>
      </c>
      <c r="J69" s="255">
        <v>0</v>
      </c>
      <c r="K69" s="255">
        <v>0</v>
      </c>
      <c r="L69" s="255">
        <v>0</v>
      </c>
    </row>
    <row r="70" spans="1:12" ht="15.75" thickBot="1">
      <c r="A70" s="222" t="s">
        <v>321</v>
      </c>
      <c r="B70" s="253">
        <f t="shared" si="8"/>
        <v>10000000000</v>
      </c>
      <c r="C70" s="254">
        <v>0</v>
      </c>
      <c r="D70" s="235">
        <v>0</v>
      </c>
      <c r="E70" s="235">
        <v>0</v>
      </c>
      <c r="F70" s="235">
        <v>0</v>
      </c>
      <c r="G70" s="312">
        <v>10000000000</v>
      </c>
      <c r="H70" s="312"/>
      <c r="I70" s="255">
        <v>0</v>
      </c>
      <c r="J70" s="255">
        <v>0</v>
      </c>
      <c r="K70" s="255">
        <v>0</v>
      </c>
      <c r="L70" s="255">
        <v>0</v>
      </c>
    </row>
    <row r="71" spans="1:12" ht="15.75" thickBot="1">
      <c r="A71" s="223" t="s">
        <v>212</v>
      </c>
      <c r="B71" s="256">
        <f>SUM(B67:B70)</f>
        <v>170500000000</v>
      </c>
      <c r="C71" s="256">
        <f>SUM(C67:C70)</f>
        <v>0</v>
      </c>
      <c r="D71" s="256">
        <f t="shared" ref="D71:L71" si="9">SUM(D67:D70)</f>
        <v>58000000000</v>
      </c>
      <c r="E71" s="256">
        <f t="shared" si="9"/>
        <v>100000000000</v>
      </c>
      <c r="F71" s="256">
        <f t="shared" si="9"/>
        <v>0</v>
      </c>
      <c r="G71" s="337">
        <f t="shared" si="9"/>
        <v>12500000000</v>
      </c>
      <c r="H71" s="337">
        <f t="shared" si="9"/>
        <v>0</v>
      </c>
      <c r="I71" s="257">
        <f t="shared" si="9"/>
        <v>0</v>
      </c>
      <c r="J71" s="257">
        <f t="shared" si="9"/>
        <v>0</v>
      </c>
      <c r="K71" s="257">
        <f t="shared" si="9"/>
        <v>0</v>
      </c>
      <c r="L71" s="257">
        <f t="shared" si="9"/>
        <v>0</v>
      </c>
    </row>
    <row r="75" spans="1:12" s="138" customFormat="1" ht="15.75">
      <c r="A75" s="201"/>
      <c r="B75" s="202" t="s">
        <v>327</v>
      </c>
      <c r="C75" s="201"/>
      <c r="D75" s="201"/>
      <c r="E75" s="201"/>
      <c r="F75" s="201"/>
      <c r="G75" s="201"/>
      <c r="H75" s="201"/>
      <c r="I75" s="201"/>
    </row>
    <row r="78" spans="1:12" ht="15.75" thickBot="1">
      <c r="E78" s="211"/>
    </row>
    <row r="79" spans="1:12">
      <c r="A79" s="371" t="s">
        <v>206</v>
      </c>
      <c r="B79" s="371" t="s">
        <v>191</v>
      </c>
      <c r="C79" s="377"/>
      <c r="D79" s="371" t="s">
        <v>323</v>
      </c>
      <c r="E79" s="371" t="s">
        <v>324</v>
      </c>
      <c r="F79" s="371" t="s">
        <v>325</v>
      </c>
      <c r="G79" s="379"/>
      <c r="H79" s="369" t="s">
        <v>326</v>
      </c>
    </row>
    <row r="80" spans="1:12">
      <c r="A80" s="372"/>
      <c r="B80" s="372"/>
      <c r="C80" s="378"/>
      <c r="D80" s="372"/>
      <c r="E80" s="372"/>
      <c r="F80" s="372"/>
      <c r="G80" s="380"/>
      <c r="H80" s="370"/>
    </row>
    <row r="81" spans="1:8">
      <c r="A81" s="225" t="s">
        <v>207</v>
      </c>
      <c r="B81" s="225" t="s">
        <v>213</v>
      </c>
      <c r="C81" s="258">
        <f>+O19</f>
        <v>8567673464.0315104</v>
      </c>
      <c r="D81" s="259">
        <v>33</v>
      </c>
      <c r="E81" s="260">
        <v>38322</v>
      </c>
      <c r="F81" s="259">
        <v>11.5</v>
      </c>
      <c r="G81" s="259">
        <f>D81-F81</f>
        <v>21.5</v>
      </c>
      <c r="H81" s="258">
        <f>C81/G81</f>
        <v>398496440.1875121</v>
      </c>
    </row>
    <row r="82" spans="1:8">
      <c r="A82" s="225" t="s">
        <v>207</v>
      </c>
      <c r="B82" s="225" t="s">
        <v>214</v>
      </c>
      <c r="C82" s="258">
        <f>+O20</f>
        <v>1157882124.693568</v>
      </c>
      <c r="D82" s="259">
        <v>45</v>
      </c>
      <c r="E82" s="260">
        <v>38322</v>
      </c>
      <c r="F82" s="259">
        <v>11.5</v>
      </c>
      <c r="G82" s="259">
        <f>D82-F82</f>
        <v>33.5</v>
      </c>
      <c r="H82" s="258">
        <f t="shared" ref="H82:H94" si="10">C82/G82</f>
        <v>34563645.513240837</v>
      </c>
    </row>
    <row r="83" spans="1:8">
      <c r="A83" s="225" t="s">
        <v>207</v>
      </c>
      <c r="B83" s="225" t="s">
        <v>215</v>
      </c>
      <c r="C83" s="258">
        <f>+O21</f>
        <v>1701072622.3131657</v>
      </c>
      <c r="D83" s="259">
        <v>40</v>
      </c>
      <c r="E83" s="260">
        <v>38322</v>
      </c>
      <c r="F83" s="259">
        <v>11.5</v>
      </c>
      <c r="G83" s="259">
        <f t="shared" ref="G83:G94" si="11">D83-F83</f>
        <v>28.5</v>
      </c>
      <c r="H83" s="258">
        <f t="shared" si="10"/>
        <v>59686758.677654937</v>
      </c>
    </row>
    <row r="84" spans="1:8">
      <c r="A84" s="225" t="s">
        <v>207</v>
      </c>
      <c r="B84" s="225" t="s">
        <v>216</v>
      </c>
      <c r="C84" s="258">
        <f>+O22</f>
        <v>70051042096.148056</v>
      </c>
      <c r="D84" s="259">
        <v>25</v>
      </c>
      <c r="E84" s="260">
        <v>38687</v>
      </c>
      <c r="F84" s="259">
        <v>10.5</v>
      </c>
      <c r="G84" s="259">
        <f t="shared" si="11"/>
        <v>14.5</v>
      </c>
      <c r="H84" s="258">
        <f t="shared" si="10"/>
        <v>4831106351.4584866</v>
      </c>
    </row>
    <row r="85" spans="1:8">
      <c r="A85" s="225" t="s">
        <v>207</v>
      </c>
      <c r="B85" s="225" t="s">
        <v>217</v>
      </c>
      <c r="C85" s="258">
        <f>+O23</f>
        <v>11892412788.48419</v>
      </c>
      <c r="D85" s="259">
        <v>45</v>
      </c>
      <c r="E85" s="260">
        <v>38412</v>
      </c>
      <c r="F85" s="259">
        <v>10.3</v>
      </c>
      <c r="G85" s="259">
        <f t="shared" si="11"/>
        <v>34.700000000000003</v>
      </c>
      <c r="H85" s="258">
        <f t="shared" si="10"/>
        <v>342720829.63931382</v>
      </c>
    </row>
    <row r="86" spans="1:8">
      <c r="A86" s="225" t="s">
        <v>207</v>
      </c>
      <c r="B86" s="225" t="s">
        <v>218</v>
      </c>
      <c r="C86" s="258">
        <f>+O24</f>
        <v>3086944265.6136708</v>
      </c>
      <c r="D86" s="259">
        <v>45</v>
      </c>
      <c r="E86" s="260">
        <v>38687</v>
      </c>
      <c r="F86" s="259">
        <v>10.5</v>
      </c>
      <c r="G86" s="259">
        <f t="shared" si="11"/>
        <v>34.5</v>
      </c>
      <c r="H86" s="258">
        <f t="shared" si="10"/>
        <v>89476645.380106404</v>
      </c>
    </row>
    <row r="87" spans="1:8">
      <c r="A87" s="225" t="s">
        <v>328</v>
      </c>
      <c r="B87" s="226" t="s">
        <v>192</v>
      </c>
      <c r="C87" s="261">
        <f>+F52</f>
        <v>31079836.906484284</v>
      </c>
      <c r="D87" s="259">
        <v>40</v>
      </c>
      <c r="E87" s="260">
        <v>37591</v>
      </c>
      <c r="F87" s="259">
        <v>13.5</v>
      </c>
      <c r="G87" s="259">
        <f t="shared" si="11"/>
        <v>26.5</v>
      </c>
      <c r="H87" s="258">
        <f t="shared" si="10"/>
        <v>1172824.0342069541</v>
      </c>
    </row>
    <row r="88" spans="1:8">
      <c r="A88" s="225" t="s">
        <v>328</v>
      </c>
      <c r="B88" s="226" t="s">
        <v>313</v>
      </c>
      <c r="C88" s="261">
        <f t="shared" ref="C88:C90" si="12">+F53</f>
        <v>23309877.679863211</v>
      </c>
      <c r="D88" s="259">
        <v>45</v>
      </c>
      <c r="E88" s="260">
        <v>37591</v>
      </c>
      <c r="F88" s="259">
        <v>13.5</v>
      </c>
      <c r="G88" s="259">
        <f t="shared" si="11"/>
        <v>31.5</v>
      </c>
      <c r="H88" s="258">
        <f t="shared" si="10"/>
        <v>739996.11682105425</v>
      </c>
    </row>
    <row r="89" spans="1:8">
      <c r="A89" s="225" t="s">
        <v>328</v>
      </c>
      <c r="B89" s="226" t="s">
        <v>193</v>
      </c>
      <c r="C89" s="261">
        <f t="shared" si="12"/>
        <v>12431934.762593713</v>
      </c>
      <c r="D89" s="259">
        <v>0</v>
      </c>
      <c r="E89" s="260"/>
      <c r="F89" s="259">
        <v>0</v>
      </c>
      <c r="G89" s="259">
        <v>0</v>
      </c>
      <c r="H89" s="258">
        <v>0</v>
      </c>
    </row>
    <row r="90" spans="1:8">
      <c r="A90" s="225" t="s">
        <v>328</v>
      </c>
      <c r="B90" s="226" t="s">
        <v>313</v>
      </c>
      <c r="C90" s="261">
        <f t="shared" si="12"/>
        <v>12127277.39286631</v>
      </c>
      <c r="D90" s="259">
        <v>45</v>
      </c>
      <c r="E90" s="260">
        <v>41974</v>
      </c>
      <c r="F90" s="259">
        <v>1.5</v>
      </c>
      <c r="G90" s="259">
        <f t="shared" si="11"/>
        <v>43.5</v>
      </c>
      <c r="H90" s="258">
        <f t="shared" si="10"/>
        <v>278787.98604290368</v>
      </c>
    </row>
    <row r="91" spans="1:8">
      <c r="A91" s="225" t="s">
        <v>329</v>
      </c>
      <c r="B91" s="226" t="s">
        <v>318</v>
      </c>
      <c r="C91" s="261">
        <f>+B67</f>
        <v>58000000000</v>
      </c>
      <c r="D91" s="259">
        <v>40</v>
      </c>
      <c r="E91" s="260">
        <v>43070</v>
      </c>
      <c r="F91" s="259">
        <v>0</v>
      </c>
      <c r="G91" s="259">
        <f t="shared" si="11"/>
        <v>40</v>
      </c>
      <c r="H91" s="258">
        <f t="shared" si="10"/>
        <v>1450000000</v>
      </c>
    </row>
    <row r="92" spans="1:8">
      <c r="A92" s="225" t="s">
        <v>329</v>
      </c>
      <c r="B92" s="226" t="s">
        <v>319</v>
      </c>
      <c r="C92" s="261">
        <f t="shared" ref="C92:C94" si="13">+B68</f>
        <v>100000000000</v>
      </c>
      <c r="D92" s="259">
        <v>45</v>
      </c>
      <c r="E92" s="260">
        <v>43435</v>
      </c>
      <c r="F92" s="259">
        <v>0</v>
      </c>
      <c r="G92" s="259">
        <f t="shared" si="11"/>
        <v>45</v>
      </c>
      <c r="H92" s="258">
        <f t="shared" si="10"/>
        <v>2222222222.2222223</v>
      </c>
    </row>
    <row r="93" spans="1:8">
      <c r="A93" s="225" t="s">
        <v>329</v>
      </c>
      <c r="B93" s="226" t="s">
        <v>320</v>
      </c>
      <c r="C93" s="261">
        <f t="shared" si="13"/>
        <v>2500000000</v>
      </c>
      <c r="D93" s="259">
        <v>45</v>
      </c>
      <c r="E93" s="334">
        <v>44166</v>
      </c>
      <c r="F93" s="259">
        <v>0</v>
      </c>
      <c r="G93" s="259">
        <f t="shared" si="11"/>
        <v>45</v>
      </c>
      <c r="H93" s="258">
        <f t="shared" si="10"/>
        <v>55555555.555555552</v>
      </c>
    </row>
    <row r="94" spans="1:8">
      <c r="A94" s="225" t="s">
        <v>329</v>
      </c>
      <c r="B94" s="226" t="s">
        <v>321</v>
      </c>
      <c r="C94" s="261">
        <f t="shared" si="13"/>
        <v>10000000000</v>
      </c>
      <c r="D94" s="259">
        <v>45</v>
      </c>
      <c r="E94" s="334">
        <v>44166</v>
      </c>
      <c r="F94" s="259">
        <v>0</v>
      </c>
      <c r="G94" s="259">
        <f t="shared" si="11"/>
        <v>45</v>
      </c>
      <c r="H94" s="258">
        <f t="shared" si="10"/>
        <v>222222222.22222221</v>
      </c>
    </row>
    <row r="96" spans="1:8" ht="15.75" thickBot="1"/>
    <row r="97" spans="1:11" ht="15.75" thickBot="1">
      <c r="A97" s="227" t="s">
        <v>372</v>
      </c>
    </row>
    <row r="99" spans="1:11" ht="15.75" thickBot="1">
      <c r="B99" s="230">
        <v>42887</v>
      </c>
      <c r="C99" s="230">
        <v>43252</v>
      </c>
      <c r="D99" s="230">
        <v>43617</v>
      </c>
      <c r="E99" s="230">
        <v>43983</v>
      </c>
      <c r="F99" s="230">
        <v>44348</v>
      </c>
      <c r="G99" s="230">
        <v>44713</v>
      </c>
      <c r="H99" s="230">
        <v>45078</v>
      </c>
      <c r="I99" s="230">
        <v>45444</v>
      </c>
      <c r="J99" s="230">
        <v>45809</v>
      </c>
      <c r="K99" s="230">
        <v>46174</v>
      </c>
    </row>
    <row r="100" spans="1:11" ht="15.75" thickBot="1">
      <c r="A100" s="227" t="s">
        <v>191</v>
      </c>
      <c r="B100" s="228" t="s">
        <v>219</v>
      </c>
      <c r="C100" s="228" t="s">
        <v>220</v>
      </c>
      <c r="D100" s="228" t="s">
        <v>221</v>
      </c>
      <c r="E100" s="228" t="s">
        <v>222</v>
      </c>
      <c r="F100" s="228" t="s">
        <v>223</v>
      </c>
      <c r="G100" s="228" t="s">
        <v>224</v>
      </c>
      <c r="H100" s="228" t="s">
        <v>225</v>
      </c>
      <c r="I100" s="228" t="s">
        <v>226</v>
      </c>
      <c r="J100" s="228" t="s">
        <v>227</v>
      </c>
      <c r="K100" s="228" t="s">
        <v>228</v>
      </c>
    </row>
    <row r="101" spans="1:11" ht="15.75" thickBot="1">
      <c r="A101" s="225" t="s">
        <v>213</v>
      </c>
      <c r="B101" s="234">
        <f t="shared" ref="B101:B108" si="14">+H81</f>
        <v>398496440.1875121</v>
      </c>
      <c r="C101" s="234">
        <f t="shared" ref="C101:C109" si="15">+B101</f>
        <v>398496440.1875121</v>
      </c>
      <c r="D101" s="234">
        <f t="shared" ref="D101:K101" si="16">+C101</f>
        <v>398496440.1875121</v>
      </c>
      <c r="E101" s="234">
        <f t="shared" si="16"/>
        <v>398496440.1875121</v>
      </c>
      <c r="F101" s="234">
        <f t="shared" si="16"/>
        <v>398496440.1875121</v>
      </c>
      <c r="G101" s="234">
        <f t="shared" si="16"/>
        <v>398496440.1875121</v>
      </c>
      <c r="H101" s="234">
        <f t="shared" si="16"/>
        <v>398496440.1875121</v>
      </c>
      <c r="I101" s="234">
        <f t="shared" si="16"/>
        <v>398496440.1875121</v>
      </c>
      <c r="J101" s="234">
        <f t="shared" si="16"/>
        <v>398496440.1875121</v>
      </c>
      <c r="K101" s="234">
        <f t="shared" si="16"/>
        <v>398496440.1875121</v>
      </c>
    </row>
    <row r="102" spans="1:11" ht="15.75" thickBot="1">
      <c r="A102" s="225" t="s">
        <v>214</v>
      </c>
      <c r="B102" s="262">
        <f t="shared" si="14"/>
        <v>34563645.513240837</v>
      </c>
      <c r="C102" s="262">
        <f t="shared" si="15"/>
        <v>34563645.513240837</v>
      </c>
      <c r="D102" s="262">
        <f t="shared" ref="D102:K102" si="17">+C102</f>
        <v>34563645.513240837</v>
      </c>
      <c r="E102" s="262">
        <f t="shared" si="17"/>
        <v>34563645.513240837</v>
      </c>
      <c r="F102" s="262">
        <f t="shared" si="17"/>
        <v>34563645.513240837</v>
      </c>
      <c r="G102" s="262">
        <f t="shared" si="17"/>
        <v>34563645.513240837</v>
      </c>
      <c r="H102" s="262">
        <f t="shared" si="17"/>
        <v>34563645.513240837</v>
      </c>
      <c r="I102" s="262">
        <f t="shared" si="17"/>
        <v>34563645.513240837</v>
      </c>
      <c r="J102" s="262">
        <f t="shared" si="17"/>
        <v>34563645.513240837</v>
      </c>
      <c r="K102" s="262">
        <f t="shared" si="17"/>
        <v>34563645.513240837</v>
      </c>
    </row>
    <row r="103" spans="1:11" ht="15.75" thickBot="1">
      <c r="A103" s="225" t="s">
        <v>215</v>
      </c>
      <c r="B103" s="262">
        <f t="shared" si="14"/>
        <v>59686758.677654937</v>
      </c>
      <c r="C103" s="262">
        <f t="shared" si="15"/>
        <v>59686758.677654937</v>
      </c>
      <c r="D103" s="262">
        <f t="shared" ref="D103:K103" si="18">+C103</f>
        <v>59686758.677654937</v>
      </c>
      <c r="E103" s="262">
        <f t="shared" si="18"/>
        <v>59686758.677654937</v>
      </c>
      <c r="F103" s="262">
        <f t="shared" si="18"/>
        <v>59686758.677654937</v>
      </c>
      <c r="G103" s="262">
        <f t="shared" si="18"/>
        <v>59686758.677654937</v>
      </c>
      <c r="H103" s="262">
        <f t="shared" si="18"/>
        <v>59686758.677654937</v>
      </c>
      <c r="I103" s="262">
        <f t="shared" si="18"/>
        <v>59686758.677654937</v>
      </c>
      <c r="J103" s="262">
        <f t="shared" si="18"/>
        <v>59686758.677654937</v>
      </c>
      <c r="K103" s="262">
        <f t="shared" si="18"/>
        <v>59686758.677654937</v>
      </c>
    </row>
    <row r="104" spans="1:11" ht="15.75" thickBot="1">
      <c r="A104" s="225" t="s">
        <v>216</v>
      </c>
      <c r="B104" s="262">
        <f t="shared" si="14"/>
        <v>4831106351.4584866</v>
      </c>
      <c r="C104" s="262">
        <f t="shared" si="15"/>
        <v>4831106351.4584866</v>
      </c>
      <c r="D104" s="262">
        <f t="shared" ref="D104:K104" si="19">+C104</f>
        <v>4831106351.4584866</v>
      </c>
      <c r="E104" s="262">
        <f t="shared" si="19"/>
        <v>4831106351.4584866</v>
      </c>
      <c r="F104" s="262">
        <f t="shared" si="19"/>
        <v>4831106351.4584866</v>
      </c>
      <c r="G104" s="262">
        <f t="shared" si="19"/>
        <v>4831106351.4584866</v>
      </c>
      <c r="H104" s="262">
        <f t="shared" si="19"/>
        <v>4831106351.4584866</v>
      </c>
      <c r="I104" s="262">
        <f t="shared" si="19"/>
        <v>4831106351.4584866</v>
      </c>
      <c r="J104" s="262">
        <f t="shared" si="19"/>
        <v>4831106351.4584866</v>
      </c>
      <c r="K104" s="262">
        <f t="shared" si="19"/>
        <v>4831106351.4584866</v>
      </c>
    </row>
    <row r="105" spans="1:11" ht="15.75" thickBot="1">
      <c r="A105" s="225" t="s">
        <v>217</v>
      </c>
      <c r="B105" s="262">
        <f t="shared" si="14"/>
        <v>342720829.63931382</v>
      </c>
      <c r="C105" s="262">
        <f t="shared" si="15"/>
        <v>342720829.63931382</v>
      </c>
      <c r="D105" s="262">
        <f t="shared" ref="D105:K105" si="20">+C105</f>
        <v>342720829.63931382</v>
      </c>
      <c r="E105" s="262">
        <f t="shared" si="20"/>
        <v>342720829.63931382</v>
      </c>
      <c r="F105" s="262">
        <f t="shared" si="20"/>
        <v>342720829.63931382</v>
      </c>
      <c r="G105" s="262">
        <f t="shared" si="20"/>
        <v>342720829.63931382</v>
      </c>
      <c r="H105" s="262">
        <f t="shared" si="20"/>
        <v>342720829.63931382</v>
      </c>
      <c r="I105" s="262">
        <f t="shared" si="20"/>
        <v>342720829.63931382</v>
      </c>
      <c r="J105" s="262">
        <f t="shared" si="20"/>
        <v>342720829.63931382</v>
      </c>
      <c r="K105" s="262">
        <f t="shared" si="20"/>
        <v>342720829.63931382</v>
      </c>
    </row>
    <row r="106" spans="1:11" ht="15.75" thickBot="1">
      <c r="A106" s="225" t="s">
        <v>218</v>
      </c>
      <c r="B106" s="262">
        <f t="shared" si="14"/>
        <v>89476645.380106404</v>
      </c>
      <c r="C106" s="262">
        <f t="shared" si="15"/>
        <v>89476645.380106404</v>
      </c>
      <c r="D106" s="262">
        <f t="shared" ref="D106:K106" si="21">+C106</f>
        <v>89476645.380106404</v>
      </c>
      <c r="E106" s="262">
        <f t="shared" si="21"/>
        <v>89476645.380106404</v>
      </c>
      <c r="F106" s="262">
        <f t="shared" si="21"/>
        <v>89476645.380106404</v>
      </c>
      <c r="G106" s="262">
        <f t="shared" si="21"/>
        <v>89476645.380106404</v>
      </c>
      <c r="H106" s="262">
        <f t="shared" si="21"/>
        <v>89476645.380106404</v>
      </c>
      <c r="I106" s="262">
        <f t="shared" si="21"/>
        <v>89476645.380106404</v>
      </c>
      <c r="J106" s="262">
        <f t="shared" si="21"/>
        <v>89476645.380106404</v>
      </c>
      <c r="K106" s="262">
        <f t="shared" si="21"/>
        <v>89476645.380106404</v>
      </c>
    </row>
    <row r="107" spans="1:11" ht="15.75" thickBot="1">
      <c r="A107" s="226" t="s">
        <v>192</v>
      </c>
      <c r="B107" s="262">
        <f t="shared" si="14"/>
        <v>1172824.0342069541</v>
      </c>
      <c r="C107" s="262">
        <f t="shared" si="15"/>
        <v>1172824.0342069541</v>
      </c>
      <c r="D107" s="262">
        <f t="shared" ref="D107:K107" si="22">+C107</f>
        <v>1172824.0342069541</v>
      </c>
      <c r="E107" s="262">
        <f t="shared" si="22"/>
        <v>1172824.0342069541</v>
      </c>
      <c r="F107" s="262">
        <f t="shared" si="22"/>
        <v>1172824.0342069541</v>
      </c>
      <c r="G107" s="262">
        <f t="shared" si="22"/>
        <v>1172824.0342069541</v>
      </c>
      <c r="H107" s="262">
        <f t="shared" si="22"/>
        <v>1172824.0342069541</v>
      </c>
      <c r="I107" s="262">
        <f t="shared" si="22"/>
        <v>1172824.0342069541</v>
      </c>
      <c r="J107" s="262">
        <f t="shared" si="22"/>
        <v>1172824.0342069541</v>
      </c>
      <c r="K107" s="262">
        <f t="shared" si="22"/>
        <v>1172824.0342069541</v>
      </c>
    </row>
    <row r="108" spans="1:11" ht="15.75" thickBot="1">
      <c r="A108" s="226" t="s">
        <v>313</v>
      </c>
      <c r="B108" s="234">
        <f t="shared" si="14"/>
        <v>739996.11682105425</v>
      </c>
      <c r="C108" s="234">
        <f t="shared" si="15"/>
        <v>739996.11682105425</v>
      </c>
      <c r="D108" s="234">
        <f t="shared" ref="D108:K108" si="23">+C108</f>
        <v>739996.11682105425</v>
      </c>
      <c r="E108" s="234">
        <f t="shared" si="23"/>
        <v>739996.11682105425</v>
      </c>
      <c r="F108" s="234">
        <f t="shared" si="23"/>
        <v>739996.11682105425</v>
      </c>
      <c r="G108" s="234">
        <f t="shared" si="23"/>
        <v>739996.11682105425</v>
      </c>
      <c r="H108" s="234">
        <f t="shared" si="23"/>
        <v>739996.11682105425</v>
      </c>
      <c r="I108" s="234">
        <f t="shared" si="23"/>
        <v>739996.11682105425</v>
      </c>
      <c r="J108" s="234">
        <f t="shared" si="23"/>
        <v>739996.11682105425</v>
      </c>
      <c r="K108" s="234">
        <f t="shared" si="23"/>
        <v>739996.11682105425</v>
      </c>
    </row>
    <row r="109" spans="1:11" ht="15.75" thickBot="1">
      <c r="A109" s="226" t="s">
        <v>313</v>
      </c>
      <c r="B109" s="234">
        <f>+H90</f>
        <v>278787.98604290368</v>
      </c>
      <c r="C109" s="234">
        <f t="shared" si="15"/>
        <v>278787.98604290368</v>
      </c>
      <c r="D109" s="234">
        <f t="shared" ref="D109:K109" si="24">+C109</f>
        <v>278787.98604290368</v>
      </c>
      <c r="E109" s="234">
        <f t="shared" si="24"/>
        <v>278787.98604290368</v>
      </c>
      <c r="F109" s="234">
        <f t="shared" si="24"/>
        <v>278787.98604290368</v>
      </c>
      <c r="G109" s="234">
        <f t="shared" si="24"/>
        <v>278787.98604290368</v>
      </c>
      <c r="H109" s="234">
        <f t="shared" si="24"/>
        <v>278787.98604290368</v>
      </c>
      <c r="I109" s="234">
        <f t="shared" si="24"/>
        <v>278787.98604290368</v>
      </c>
      <c r="J109" s="234">
        <f t="shared" si="24"/>
        <v>278787.98604290368</v>
      </c>
      <c r="K109" s="234">
        <f t="shared" si="24"/>
        <v>278787.98604290368</v>
      </c>
    </row>
    <row r="110" spans="1:11" ht="15.75" thickBot="1">
      <c r="A110" s="226" t="s">
        <v>318</v>
      </c>
      <c r="B110" s="262">
        <v>0</v>
      </c>
      <c r="C110" s="262">
        <v>0</v>
      </c>
      <c r="D110" s="262">
        <f>+H91</f>
        <v>1450000000</v>
      </c>
      <c r="E110" s="262">
        <f t="shared" ref="E110:K110" si="25">+D110</f>
        <v>1450000000</v>
      </c>
      <c r="F110" s="262">
        <f t="shared" si="25"/>
        <v>1450000000</v>
      </c>
      <c r="G110" s="262">
        <f t="shared" si="25"/>
        <v>1450000000</v>
      </c>
      <c r="H110" s="262">
        <f t="shared" si="25"/>
        <v>1450000000</v>
      </c>
      <c r="I110" s="262">
        <f t="shared" si="25"/>
        <v>1450000000</v>
      </c>
      <c r="J110" s="262">
        <f t="shared" si="25"/>
        <v>1450000000</v>
      </c>
      <c r="K110" s="262">
        <f t="shared" si="25"/>
        <v>1450000000</v>
      </c>
    </row>
    <row r="111" spans="1:11" ht="15.75" thickBot="1">
      <c r="A111" s="226" t="s">
        <v>319</v>
      </c>
      <c r="B111" s="262">
        <v>0</v>
      </c>
      <c r="C111" s="262">
        <v>0</v>
      </c>
      <c r="D111" s="262">
        <v>0</v>
      </c>
      <c r="E111" s="262">
        <f>+H92</f>
        <v>2222222222.2222223</v>
      </c>
      <c r="F111" s="262">
        <f t="shared" ref="F111:K111" si="26">+E111</f>
        <v>2222222222.2222223</v>
      </c>
      <c r="G111" s="262">
        <f t="shared" si="26"/>
        <v>2222222222.2222223</v>
      </c>
      <c r="H111" s="262">
        <f t="shared" si="26"/>
        <v>2222222222.2222223</v>
      </c>
      <c r="I111" s="262">
        <f t="shared" si="26"/>
        <v>2222222222.2222223</v>
      </c>
      <c r="J111" s="262">
        <f t="shared" si="26"/>
        <v>2222222222.2222223</v>
      </c>
      <c r="K111" s="262">
        <f t="shared" si="26"/>
        <v>2222222222.2222223</v>
      </c>
    </row>
    <row r="112" spans="1:11" ht="15.75" thickBot="1">
      <c r="A112" s="226" t="s">
        <v>320</v>
      </c>
      <c r="B112" s="262">
        <v>0</v>
      </c>
      <c r="C112" s="262">
        <v>0</v>
      </c>
      <c r="D112" s="262">
        <v>0</v>
      </c>
      <c r="E112" s="262">
        <v>0</v>
      </c>
      <c r="F112" s="262">
        <v>0</v>
      </c>
      <c r="G112" s="262">
        <f>+H93</f>
        <v>55555555.555555552</v>
      </c>
      <c r="H112" s="262">
        <f t="shared" ref="H112:K112" si="27">+G112</f>
        <v>55555555.555555552</v>
      </c>
      <c r="I112" s="262">
        <f t="shared" si="27"/>
        <v>55555555.555555552</v>
      </c>
      <c r="J112" s="262">
        <f t="shared" si="27"/>
        <v>55555555.555555552</v>
      </c>
      <c r="K112" s="262">
        <f t="shared" si="27"/>
        <v>55555555.555555552</v>
      </c>
    </row>
    <row r="113" spans="1:11" ht="15.75" thickBot="1">
      <c r="A113" s="226" t="s">
        <v>321</v>
      </c>
      <c r="B113" s="262">
        <v>0</v>
      </c>
      <c r="C113" s="234">
        <v>0</v>
      </c>
      <c r="D113" s="234">
        <v>0</v>
      </c>
      <c r="E113" s="234">
        <v>0</v>
      </c>
      <c r="F113" s="234">
        <v>0</v>
      </c>
      <c r="G113" s="234">
        <f>+H94</f>
        <v>222222222.22222221</v>
      </c>
      <c r="H113" s="234">
        <f t="shared" ref="H113:K113" si="28">+G113</f>
        <v>222222222.22222221</v>
      </c>
      <c r="I113" s="234">
        <f t="shared" si="28"/>
        <v>222222222.22222221</v>
      </c>
      <c r="J113" s="234">
        <f t="shared" si="28"/>
        <v>222222222.22222221</v>
      </c>
      <c r="K113" s="234">
        <f t="shared" si="28"/>
        <v>222222222.22222221</v>
      </c>
    </row>
    <row r="114" spans="1:11" ht="15.75" thickBot="1">
      <c r="A114" s="229" t="s">
        <v>330</v>
      </c>
      <c r="B114" s="263">
        <f>SUM(B101:B113)</f>
        <v>5758242278.9933853</v>
      </c>
      <c r="C114" s="263">
        <f t="shared" ref="C114:K114" si="29">SUM(C101:C113)</f>
        <v>5758242278.9933853</v>
      </c>
      <c r="D114" s="263">
        <f t="shared" si="29"/>
        <v>7208242278.9933853</v>
      </c>
      <c r="E114" s="263">
        <f t="shared" si="29"/>
        <v>9430464501.2156067</v>
      </c>
      <c r="F114" s="263">
        <f t="shared" si="29"/>
        <v>9430464501.2156067</v>
      </c>
      <c r="G114" s="263">
        <f t="shared" si="29"/>
        <v>9708242278.9933834</v>
      </c>
      <c r="H114" s="263">
        <f t="shared" si="29"/>
        <v>9708242278.9933834</v>
      </c>
      <c r="I114" s="263">
        <f t="shared" si="29"/>
        <v>9708242278.9933834</v>
      </c>
      <c r="J114" s="263">
        <f t="shared" si="29"/>
        <v>9708242278.9933834</v>
      </c>
      <c r="K114" s="263">
        <f t="shared" si="29"/>
        <v>9708242278.9933834</v>
      </c>
    </row>
    <row r="116" spans="1:11" ht="15.75" thickBot="1"/>
    <row r="117" spans="1:11" ht="15.75" thickBot="1">
      <c r="A117" s="227" t="s">
        <v>373</v>
      </c>
    </row>
    <row r="120" spans="1:11" ht="15.75" thickBot="1">
      <c r="A120" s="224"/>
      <c r="B120" s="230">
        <v>42887</v>
      </c>
      <c r="C120" s="230">
        <v>43252</v>
      </c>
      <c r="D120" s="230">
        <v>43617</v>
      </c>
      <c r="E120" s="230">
        <v>43983</v>
      </c>
      <c r="F120" s="230">
        <v>44348</v>
      </c>
      <c r="G120" s="230">
        <v>44713</v>
      </c>
      <c r="H120" s="230">
        <v>45078</v>
      </c>
      <c r="I120" s="230">
        <v>45444</v>
      </c>
      <c r="J120" s="230">
        <v>45809</v>
      </c>
      <c r="K120" s="230">
        <v>46174</v>
      </c>
    </row>
    <row r="121" spans="1:11" ht="15.75" thickBot="1">
      <c r="A121" s="227" t="s">
        <v>191</v>
      </c>
      <c r="B121" s="228" t="s">
        <v>229</v>
      </c>
      <c r="C121" s="228" t="s">
        <v>230</v>
      </c>
      <c r="D121" s="228" t="s">
        <v>231</v>
      </c>
      <c r="E121" s="228" t="s">
        <v>232</v>
      </c>
      <c r="F121" s="228" t="s">
        <v>233</v>
      </c>
      <c r="G121" s="228" t="s">
        <v>234</v>
      </c>
      <c r="H121" s="228" t="s">
        <v>235</v>
      </c>
      <c r="I121" s="228" t="s">
        <v>236</v>
      </c>
      <c r="J121" s="228" t="s">
        <v>237</v>
      </c>
      <c r="K121" s="228" t="s">
        <v>238</v>
      </c>
    </row>
    <row r="122" spans="1:11" ht="15.75" thickBot="1">
      <c r="A122" s="225" t="s">
        <v>213</v>
      </c>
      <c r="B122" s="234">
        <f>+B101</f>
        <v>398496440.1875121</v>
      </c>
      <c r="C122" s="234">
        <f>B122+C101</f>
        <v>796992880.3750242</v>
      </c>
      <c r="D122" s="234">
        <f t="shared" ref="D122:K122" si="30">C122+D101</f>
        <v>1195489320.5625362</v>
      </c>
      <c r="E122" s="234">
        <f t="shared" si="30"/>
        <v>1593985760.7500484</v>
      </c>
      <c r="F122" s="234">
        <f t="shared" si="30"/>
        <v>1992482200.9375606</v>
      </c>
      <c r="G122" s="234">
        <f t="shared" si="30"/>
        <v>2390978641.1250725</v>
      </c>
      <c r="H122" s="234">
        <f t="shared" si="30"/>
        <v>2789475081.3125844</v>
      </c>
      <c r="I122" s="234">
        <f t="shared" si="30"/>
        <v>3187971521.5000963</v>
      </c>
      <c r="J122" s="234">
        <f t="shared" si="30"/>
        <v>3586467961.6876082</v>
      </c>
      <c r="K122" s="234">
        <f t="shared" si="30"/>
        <v>3984964401.8751202</v>
      </c>
    </row>
    <row r="123" spans="1:11" ht="15.75" thickBot="1">
      <c r="A123" s="225" t="s">
        <v>214</v>
      </c>
      <c r="B123" s="234">
        <f t="shared" ref="B123:B134" si="31">+B102</f>
        <v>34563645.513240837</v>
      </c>
      <c r="C123" s="234">
        <f t="shared" ref="C123:K123" si="32">B123+C102</f>
        <v>69127291.026481673</v>
      </c>
      <c r="D123" s="234">
        <f t="shared" si="32"/>
        <v>103690936.5397225</v>
      </c>
      <c r="E123" s="234">
        <f t="shared" si="32"/>
        <v>138254582.05296335</v>
      </c>
      <c r="F123" s="234">
        <f t="shared" si="32"/>
        <v>172818227.56620419</v>
      </c>
      <c r="G123" s="234">
        <f t="shared" si="32"/>
        <v>207381873.07944503</v>
      </c>
      <c r="H123" s="234">
        <f t="shared" si="32"/>
        <v>241945518.59268588</v>
      </c>
      <c r="I123" s="234">
        <f t="shared" si="32"/>
        <v>276509164.10592669</v>
      </c>
      <c r="J123" s="234">
        <f t="shared" si="32"/>
        <v>311072809.61916751</v>
      </c>
      <c r="K123" s="234">
        <f t="shared" si="32"/>
        <v>345636455.13240832</v>
      </c>
    </row>
    <row r="124" spans="1:11" ht="15.75" thickBot="1">
      <c r="A124" s="225" t="s">
        <v>215</v>
      </c>
      <c r="B124" s="234">
        <f t="shared" si="31"/>
        <v>59686758.677654937</v>
      </c>
      <c r="C124" s="234">
        <f t="shared" ref="C124:K124" si="33">B124+C103</f>
        <v>119373517.35530987</v>
      </c>
      <c r="D124" s="234">
        <f t="shared" si="33"/>
        <v>179060276.03296483</v>
      </c>
      <c r="E124" s="234">
        <f t="shared" si="33"/>
        <v>238747034.71061975</v>
      </c>
      <c r="F124" s="234">
        <f t="shared" si="33"/>
        <v>298433793.38827467</v>
      </c>
      <c r="G124" s="234">
        <f t="shared" si="33"/>
        <v>358120552.06592959</v>
      </c>
      <c r="H124" s="234">
        <f t="shared" si="33"/>
        <v>417807310.74358451</v>
      </c>
      <c r="I124" s="234">
        <f t="shared" si="33"/>
        <v>477494069.42123944</v>
      </c>
      <c r="J124" s="234">
        <f t="shared" si="33"/>
        <v>537180828.09889436</v>
      </c>
      <c r="K124" s="234">
        <f t="shared" si="33"/>
        <v>596867586.77654934</v>
      </c>
    </row>
    <row r="125" spans="1:11" ht="15.75" thickBot="1">
      <c r="A125" s="225" t="s">
        <v>216</v>
      </c>
      <c r="B125" s="234">
        <f t="shared" si="31"/>
        <v>4831106351.4584866</v>
      </c>
      <c r="C125" s="234">
        <f t="shared" ref="C125:K125" si="34">B125+C104</f>
        <v>9662212702.9169731</v>
      </c>
      <c r="D125" s="234">
        <f t="shared" si="34"/>
        <v>14493319054.37546</v>
      </c>
      <c r="E125" s="234">
        <f t="shared" si="34"/>
        <v>19324425405.833946</v>
      </c>
      <c r="F125" s="234">
        <f t="shared" si="34"/>
        <v>24155531757.292435</v>
      </c>
      <c r="G125" s="234">
        <f t="shared" si="34"/>
        <v>28986638108.750923</v>
      </c>
      <c r="H125" s="234">
        <f t="shared" si="34"/>
        <v>33817744460.209412</v>
      </c>
      <c r="I125" s="234">
        <f t="shared" si="34"/>
        <v>38648850811.6679</v>
      </c>
      <c r="J125" s="234">
        <f t="shared" si="34"/>
        <v>43479957163.126389</v>
      </c>
      <c r="K125" s="234">
        <f t="shared" si="34"/>
        <v>48311063514.584877</v>
      </c>
    </row>
    <row r="126" spans="1:11" ht="15.75" thickBot="1">
      <c r="A126" s="225" t="s">
        <v>217</v>
      </c>
      <c r="B126" s="234">
        <f t="shared" si="31"/>
        <v>342720829.63931382</v>
      </c>
      <c r="C126" s="234">
        <f t="shared" ref="C126:K126" si="35">B126+C105</f>
        <v>685441659.27862763</v>
      </c>
      <c r="D126" s="234">
        <f t="shared" si="35"/>
        <v>1028162488.9179415</v>
      </c>
      <c r="E126" s="234">
        <f t="shared" si="35"/>
        <v>1370883318.5572553</v>
      </c>
      <c r="F126" s="234">
        <f t="shared" si="35"/>
        <v>1713604148.196569</v>
      </c>
      <c r="G126" s="234">
        <f t="shared" si="35"/>
        <v>2056324977.8358827</v>
      </c>
      <c r="H126" s="234">
        <f t="shared" si="35"/>
        <v>2399045807.4751964</v>
      </c>
      <c r="I126" s="234">
        <f t="shared" si="35"/>
        <v>2741766637.1145101</v>
      </c>
      <c r="J126" s="234">
        <f t="shared" si="35"/>
        <v>3084487466.7538238</v>
      </c>
      <c r="K126" s="234">
        <f t="shared" si="35"/>
        <v>3427208296.3931375</v>
      </c>
    </row>
    <row r="127" spans="1:11" ht="15.75" thickBot="1">
      <c r="A127" s="225" t="s">
        <v>218</v>
      </c>
      <c r="B127" s="234">
        <f t="shared" si="31"/>
        <v>89476645.380106404</v>
      </c>
      <c r="C127" s="234">
        <f t="shared" ref="C127:K127" si="36">B127+C106</f>
        <v>178953290.76021281</v>
      </c>
      <c r="D127" s="234">
        <f t="shared" si="36"/>
        <v>268429936.14031923</v>
      </c>
      <c r="E127" s="234">
        <f t="shared" si="36"/>
        <v>357906581.52042562</v>
      </c>
      <c r="F127" s="234">
        <f t="shared" si="36"/>
        <v>447383226.90053201</v>
      </c>
      <c r="G127" s="234">
        <f t="shared" si="36"/>
        <v>536859872.2806384</v>
      </c>
      <c r="H127" s="234">
        <f t="shared" si="36"/>
        <v>626336517.66074479</v>
      </c>
      <c r="I127" s="234">
        <f t="shared" si="36"/>
        <v>715813163.04085124</v>
      </c>
      <c r="J127" s="234">
        <f t="shared" si="36"/>
        <v>805289808.42095768</v>
      </c>
      <c r="K127" s="234">
        <f t="shared" si="36"/>
        <v>894766453.80106413</v>
      </c>
    </row>
    <row r="128" spans="1:11" ht="15.75" thickBot="1">
      <c r="A128" s="226" t="s">
        <v>192</v>
      </c>
      <c r="B128" s="234">
        <f t="shared" si="31"/>
        <v>1172824.0342069541</v>
      </c>
      <c r="C128" s="234">
        <f t="shared" ref="C128:K128" si="37">B128+C107</f>
        <v>2345648.0684139081</v>
      </c>
      <c r="D128" s="234">
        <f t="shared" si="37"/>
        <v>3518472.1026208624</v>
      </c>
      <c r="E128" s="234">
        <f t="shared" si="37"/>
        <v>4691296.1368278163</v>
      </c>
      <c r="F128" s="234">
        <f t="shared" si="37"/>
        <v>5864120.1710347701</v>
      </c>
      <c r="G128" s="234">
        <f t="shared" si="37"/>
        <v>7036944.2052417239</v>
      </c>
      <c r="H128" s="234">
        <f t="shared" si="37"/>
        <v>8209768.2394486777</v>
      </c>
      <c r="I128" s="234">
        <f t="shared" si="37"/>
        <v>9382592.2736556325</v>
      </c>
      <c r="J128" s="234">
        <f t="shared" si="37"/>
        <v>10555416.307862587</v>
      </c>
      <c r="K128" s="234">
        <f t="shared" si="37"/>
        <v>11728240.342069542</v>
      </c>
    </row>
    <row r="129" spans="1:12" ht="15.75" thickBot="1">
      <c r="A129" s="226" t="s">
        <v>313</v>
      </c>
      <c r="B129" s="234">
        <f t="shared" si="31"/>
        <v>739996.11682105425</v>
      </c>
      <c r="C129" s="234">
        <f t="shared" ref="C129:K129" si="38">B129+C108</f>
        <v>1479992.2336421085</v>
      </c>
      <c r="D129" s="234">
        <f t="shared" si="38"/>
        <v>2219988.3504631626</v>
      </c>
      <c r="E129" s="234">
        <f t="shared" si="38"/>
        <v>2959984.467284217</v>
      </c>
      <c r="F129" s="234">
        <f t="shared" si="38"/>
        <v>3699980.5841052714</v>
      </c>
      <c r="G129" s="234">
        <f t="shared" si="38"/>
        <v>4439976.7009263253</v>
      </c>
      <c r="H129" s="234">
        <f t="shared" si="38"/>
        <v>5179972.8177473797</v>
      </c>
      <c r="I129" s="234">
        <f t="shared" si="38"/>
        <v>5919968.934568434</v>
      </c>
      <c r="J129" s="234">
        <f t="shared" si="38"/>
        <v>6659965.0513894884</v>
      </c>
      <c r="K129" s="234">
        <f t="shared" si="38"/>
        <v>7399961.1682105428</v>
      </c>
    </row>
    <row r="130" spans="1:12" ht="15.75" thickBot="1">
      <c r="A130" s="226" t="s">
        <v>313</v>
      </c>
      <c r="B130" s="234">
        <f t="shared" si="31"/>
        <v>278787.98604290368</v>
      </c>
      <c r="C130" s="234">
        <f t="shared" ref="C130:K130" si="39">B130+C109</f>
        <v>557575.97208580736</v>
      </c>
      <c r="D130" s="234">
        <f t="shared" si="39"/>
        <v>836363.95812871098</v>
      </c>
      <c r="E130" s="234">
        <f t="shared" si="39"/>
        <v>1115151.9441716147</v>
      </c>
      <c r="F130" s="234">
        <f t="shared" si="39"/>
        <v>1393939.9302145184</v>
      </c>
      <c r="G130" s="234">
        <f t="shared" si="39"/>
        <v>1672727.9162574222</v>
      </c>
      <c r="H130" s="234">
        <f t="shared" si="39"/>
        <v>1951515.9023003259</v>
      </c>
      <c r="I130" s="234">
        <f t="shared" si="39"/>
        <v>2230303.8883432294</v>
      </c>
      <c r="J130" s="234">
        <f t="shared" si="39"/>
        <v>2509091.8743861332</v>
      </c>
      <c r="K130" s="234">
        <f t="shared" si="39"/>
        <v>2787879.8604290369</v>
      </c>
    </row>
    <row r="131" spans="1:12" ht="15.75" thickBot="1">
      <c r="A131" s="226" t="s">
        <v>318</v>
      </c>
      <c r="B131" s="234">
        <f t="shared" si="31"/>
        <v>0</v>
      </c>
      <c r="C131" s="234">
        <f t="shared" ref="C131:K131" si="40">B131+C110</f>
        <v>0</v>
      </c>
      <c r="D131" s="234">
        <f t="shared" si="40"/>
        <v>1450000000</v>
      </c>
      <c r="E131" s="234">
        <f t="shared" si="40"/>
        <v>2900000000</v>
      </c>
      <c r="F131" s="234">
        <f t="shared" si="40"/>
        <v>4350000000</v>
      </c>
      <c r="G131" s="234">
        <f t="shared" si="40"/>
        <v>5800000000</v>
      </c>
      <c r="H131" s="234">
        <f t="shared" si="40"/>
        <v>7250000000</v>
      </c>
      <c r="I131" s="234">
        <f t="shared" si="40"/>
        <v>8700000000</v>
      </c>
      <c r="J131" s="234">
        <f t="shared" si="40"/>
        <v>10150000000</v>
      </c>
      <c r="K131" s="234">
        <f t="shared" si="40"/>
        <v>11600000000</v>
      </c>
    </row>
    <row r="132" spans="1:12" ht="15.75" thickBot="1">
      <c r="A132" s="226" t="s">
        <v>319</v>
      </c>
      <c r="B132" s="234">
        <f t="shared" si="31"/>
        <v>0</v>
      </c>
      <c r="C132" s="234">
        <f t="shared" ref="C132:K132" si="41">B132+C111</f>
        <v>0</v>
      </c>
      <c r="D132" s="234">
        <f t="shared" si="41"/>
        <v>0</v>
      </c>
      <c r="E132" s="234">
        <f t="shared" si="41"/>
        <v>2222222222.2222223</v>
      </c>
      <c r="F132" s="234">
        <f t="shared" si="41"/>
        <v>4444444444.4444447</v>
      </c>
      <c r="G132" s="234">
        <f t="shared" si="41"/>
        <v>6666666666.666667</v>
      </c>
      <c r="H132" s="234">
        <f t="shared" si="41"/>
        <v>8888888888.8888893</v>
      </c>
      <c r="I132" s="234">
        <f t="shared" si="41"/>
        <v>11111111111.111111</v>
      </c>
      <c r="J132" s="234">
        <f t="shared" si="41"/>
        <v>13333333333.333332</v>
      </c>
      <c r="K132" s="234">
        <f t="shared" si="41"/>
        <v>15555555555.555553</v>
      </c>
    </row>
    <row r="133" spans="1:12" ht="15.75" thickBot="1">
      <c r="A133" s="226" t="s">
        <v>320</v>
      </c>
      <c r="B133" s="234">
        <f t="shared" si="31"/>
        <v>0</v>
      </c>
      <c r="C133" s="234">
        <f t="shared" ref="C133:K133" si="42">B133+C112</f>
        <v>0</v>
      </c>
      <c r="D133" s="234">
        <f t="shared" si="42"/>
        <v>0</v>
      </c>
      <c r="E133" s="234">
        <f t="shared" si="42"/>
        <v>0</v>
      </c>
      <c r="F133" s="234">
        <f t="shared" si="42"/>
        <v>0</v>
      </c>
      <c r="G133" s="234">
        <f t="shared" si="42"/>
        <v>55555555.555555552</v>
      </c>
      <c r="H133" s="234">
        <f t="shared" si="42"/>
        <v>111111111.1111111</v>
      </c>
      <c r="I133" s="234">
        <f t="shared" si="42"/>
        <v>166666666.66666666</v>
      </c>
      <c r="J133" s="234">
        <f t="shared" si="42"/>
        <v>222222222.22222221</v>
      </c>
      <c r="K133" s="234">
        <f t="shared" si="42"/>
        <v>277777777.77777779</v>
      </c>
    </row>
    <row r="134" spans="1:12" ht="15.75" thickBot="1">
      <c r="A134" s="226" t="s">
        <v>321</v>
      </c>
      <c r="B134" s="234">
        <f t="shared" si="31"/>
        <v>0</v>
      </c>
      <c r="C134" s="234">
        <f t="shared" ref="C134:K134" si="43">B134+C113</f>
        <v>0</v>
      </c>
      <c r="D134" s="234">
        <f t="shared" si="43"/>
        <v>0</v>
      </c>
      <c r="E134" s="234">
        <f t="shared" si="43"/>
        <v>0</v>
      </c>
      <c r="F134" s="234">
        <f t="shared" si="43"/>
        <v>0</v>
      </c>
      <c r="G134" s="234">
        <f t="shared" si="43"/>
        <v>222222222.22222221</v>
      </c>
      <c r="H134" s="234">
        <f t="shared" si="43"/>
        <v>444444444.44444442</v>
      </c>
      <c r="I134" s="234">
        <f t="shared" si="43"/>
        <v>666666666.66666663</v>
      </c>
      <c r="J134" s="234">
        <f t="shared" si="43"/>
        <v>888888888.88888884</v>
      </c>
      <c r="K134" s="234">
        <f t="shared" si="43"/>
        <v>1111111111.1111112</v>
      </c>
    </row>
    <row r="135" spans="1:12" ht="15.75" thickBot="1">
      <c r="A135" s="229" t="s">
        <v>330</v>
      </c>
      <c r="B135" s="263">
        <f>SUM(B122:B134)</f>
        <v>5758242278.9933853</v>
      </c>
      <c r="C135" s="263">
        <f t="shared" ref="C135:K135" si="44">SUM(C122:C134)</f>
        <v>11516484557.986771</v>
      </c>
      <c r="D135" s="263">
        <f t="shared" si="44"/>
        <v>18724726836.980156</v>
      </c>
      <c r="E135" s="263">
        <f t="shared" si="44"/>
        <v>28155191338.195763</v>
      </c>
      <c r="F135" s="263">
        <f t="shared" si="44"/>
        <v>37585655839.411377</v>
      </c>
      <c r="G135" s="263">
        <f t="shared" si="44"/>
        <v>47293898118.404762</v>
      </c>
      <c r="H135" s="263">
        <f t="shared" si="44"/>
        <v>57002140397.398148</v>
      </c>
      <c r="I135" s="263">
        <f t="shared" si="44"/>
        <v>66710382676.391525</v>
      </c>
      <c r="J135" s="263">
        <f t="shared" si="44"/>
        <v>76418624955.384933</v>
      </c>
      <c r="K135" s="263">
        <f t="shared" si="44"/>
        <v>86126867234.378311</v>
      </c>
    </row>
    <row r="140" spans="1:12" s="138" customFormat="1" ht="15.75">
      <c r="A140" s="201"/>
      <c r="B140" s="202" t="s">
        <v>331</v>
      </c>
      <c r="C140" s="201"/>
      <c r="D140" s="201"/>
      <c r="E140" s="201"/>
      <c r="F140" s="201"/>
      <c r="G140" s="201"/>
      <c r="H140" s="201"/>
      <c r="I140" s="201"/>
    </row>
    <row r="144" spans="1:12" ht="15.75" thickBot="1">
      <c r="A144" s="224"/>
      <c r="B144" s="230">
        <v>42522</v>
      </c>
      <c r="C144" s="230">
        <v>42887</v>
      </c>
      <c r="D144" s="230">
        <v>43252</v>
      </c>
      <c r="E144" s="230">
        <v>43617</v>
      </c>
      <c r="F144" s="230">
        <v>43983</v>
      </c>
      <c r="G144" s="230">
        <v>44348</v>
      </c>
      <c r="H144" s="230">
        <v>44713</v>
      </c>
      <c r="I144" s="230">
        <v>45078</v>
      </c>
      <c r="J144" s="230">
        <v>45444</v>
      </c>
      <c r="K144" s="230">
        <v>45809</v>
      </c>
      <c r="L144" s="231">
        <v>46174</v>
      </c>
    </row>
    <row r="145" spans="1:12">
      <c r="A145" s="373" t="s">
        <v>191</v>
      </c>
      <c r="B145" s="375" t="s">
        <v>239</v>
      </c>
      <c r="C145" s="232" t="s">
        <v>332</v>
      </c>
      <c r="D145" s="232" t="s">
        <v>332</v>
      </c>
      <c r="E145" s="232" t="s">
        <v>332</v>
      </c>
      <c r="F145" s="232" t="s">
        <v>332</v>
      </c>
      <c r="G145" s="232" t="s">
        <v>332</v>
      </c>
      <c r="H145" s="232" t="s">
        <v>332</v>
      </c>
      <c r="I145" s="232" t="s">
        <v>332</v>
      </c>
      <c r="J145" s="232" t="s">
        <v>332</v>
      </c>
      <c r="K145" s="232" t="s">
        <v>332</v>
      </c>
      <c r="L145" s="232" t="s">
        <v>332</v>
      </c>
    </row>
    <row r="146" spans="1:12" ht="15.75" thickBot="1">
      <c r="A146" s="374"/>
      <c r="B146" s="376"/>
      <c r="C146" s="233">
        <v>1</v>
      </c>
      <c r="D146" s="233">
        <v>2</v>
      </c>
      <c r="E146" s="233">
        <v>3</v>
      </c>
      <c r="F146" s="233">
        <v>4</v>
      </c>
      <c r="G146" s="233">
        <v>5</v>
      </c>
      <c r="H146" s="233">
        <v>6</v>
      </c>
      <c r="I146" s="233">
        <v>7</v>
      </c>
      <c r="J146" s="233">
        <v>8</v>
      </c>
      <c r="K146" s="233">
        <v>9</v>
      </c>
      <c r="L146" s="233">
        <v>10</v>
      </c>
    </row>
    <row r="147" spans="1:12" ht="15.75" thickBot="1">
      <c r="A147" s="225" t="s">
        <v>213</v>
      </c>
      <c r="B147" s="234">
        <f>+C81</f>
        <v>8567673464.0315104</v>
      </c>
      <c r="C147" s="234">
        <f>$B$147-B122</f>
        <v>8169177023.843998</v>
      </c>
      <c r="D147" s="234">
        <f t="shared" ref="D147:L147" si="45">$B$147-C122</f>
        <v>7770680583.6564865</v>
      </c>
      <c r="E147" s="234">
        <f t="shared" si="45"/>
        <v>7372184143.4689741</v>
      </c>
      <c r="F147" s="234">
        <f t="shared" si="45"/>
        <v>6973687703.2814617</v>
      </c>
      <c r="G147" s="234">
        <f t="shared" si="45"/>
        <v>6575191263.0939503</v>
      </c>
      <c r="H147" s="234">
        <f t="shared" si="45"/>
        <v>6176694822.9064379</v>
      </c>
      <c r="I147" s="234">
        <f t="shared" si="45"/>
        <v>5778198382.7189255</v>
      </c>
      <c r="J147" s="234">
        <f t="shared" si="45"/>
        <v>5379701942.531414</v>
      </c>
      <c r="K147" s="234">
        <f t="shared" si="45"/>
        <v>4981205502.3439026</v>
      </c>
      <c r="L147" s="234">
        <f t="shared" si="45"/>
        <v>4582709062.1563902</v>
      </c>
    </row>
    <row r="148" spans="1:12" ht="15.75" thickBot="1">
      <c r="A148" s="225" t="s">
        <v>214</v>
      </c>
      <c r="B148" s="234">
        <f t="shared" ref="B148:B156" si="46">+C82</f>
        <v>1157882124.693568</v>
      </c>
      <c r="C148" s="234">
        <f>$B$148-B123</f>
        <v>1123318479.1803272</v>
      </c>
      <c r="D148" s="234">
        <f t="shared" ref="D148:L148" si="47">$B$148-C123</f>
        <v>1088754833.6670864</v>
      </c>
      <c r="E148" s="234">
        <f t="shared" si="47"/>
        <v>1054191188.1538455</v>
      </c>
      <c r="F148" s="234">
        <f t="shared" si="47"/>
        <v>1019627542.6406046</v>
      </c>
      <c r="G148" s="234">
        <f t="shared" si="47"/>
        <v>985063897.1273638</v>
      </c>
      <c r="H148" s="234">
        <f t="shared" si="47"/>
        <v>950500251.61412299</v>
      </c>
      <c r="I148" s="234">
        <f t="shared" si="47"/>
        <v>915936606.10088205</v>
      </c>
      <c r="J148" s="234">
        <f t="shared" si="47"/>
        <v>881372960.58764124</v>
      </c>
      <c r="K148" s="234">
        <f t="shared" si="47"/>
        <v>846809315.07440042</v>
      </c>
      <c r="L148" s="234">
        <f t="shared" si="47"/>
        <v>812245669.56115961</v>
      </c>
    </row>
    <row r="149" spans="1:12" ht="15.75" thickBot="1">
      <c r="A149" s="225" t="s">
        <v>215</v>
      </c>
      <c r="B149" s="234">
        <f t="shared" si="46"/>
        <v>1701072622.3131657</v>
      </c>
      <c r="C149" s="234">
        <f>$B$149-B124</f>
        <v>1641385863.6355107</v>
      </c>
      <c r="D149" s="234">
        <f t="shared" ref="D149:L149" si="48">$B$149-C124</f>
        <v>1581699104.9578557</v>
      </c>
      <c r="E149" s="234">
        <f t="shared" si="48"/>
        <v>1522012346.280201</v>
      </c>
      <c r="F149" s="234">
        <f t="shared" si="48"/>
        <v>1462325587.602546</v>
      </c>
      <c r="G149" s="234">
        <f t="shared" si="48"/>
        <v>1402638828.924891</v>
      </c>
      <c r="H149" s="234">
        <f t="shared" si="48"/>
        <v>1342952070.247236</v>
      </c>
      <c r="I149" s="234">
        <f t="shared" si="48"/>
        <v>1283265311.569581</v>
      </c>
      <c r="J149" s="234">
        <f t="shared" si="48"/>
        <v>1223578552.8919263</v>
      </c>
      <c r="K149" s="234">
        <f t="shared" si="48"/>
        <v>1163891794.2142713</v>
      </c>
      <c r="L149" s="234">
        <f t="shared" si="48"/>
        <v>1104205035.5366163</v>
      </c>
    </row>
    <row r="150" spans="1:12" ht="15.75" thickBot="1">
      <c r="A150" s="225" t="s">
        <v>216</v>
      </c>
      <c r="B150" s="234">
        <f t="shared" si="46"/>
        <v>70051042096.148056</v>
      </c>
      <c r="C150" s="234">
        <f>$B$150-B125</f>
        <v>65219935744.689568</v>
      </c>
      <c r="D150" s="234">
        <f t="shared" ref="D150:L150" si="49">$B$150-C125</f>
        <v>60388829393.231079</v>
      </c>
      <c r="E150" s="234">
        <f t="shared" si="49"/>
        <v>55557723041.772598</v>
      </c>
      <c r="F150" s="234">
        <f t="shared" si="49"/>
        <v>50726616690.31411</v>
      </c>
      <c r="G150" s="234">
        <f t="shared" si="49"/>
        <v>45895510338.855621</v>
      </c>
      <c r="H150" s="234">
        <f t="shared" si="49"/>
        <v>41064403987.397133</v>
      </c>
      <c r="I150" s="234">
        <f t="shared" si="49"/>
        <v>36233297635.938644</v>
      </c>
      <c r="J150" s="234">
        <f t="shared" si="49"/>
        <v>31402191284.480156</v>
      </c>
      <c r="K150" s="234">
        <f t="shared" si="49"/>
        <v>26571084933.021667</v>
      </c>
      <c r="L150" s="234">
        <f t="shared" si="49"/>
        <v>21739978581.563179</v>
      </c>
    </row>
    <row r="151" spans="1:12" ht="15.75" thickBot="1">
      <c r="A151" s="225" t="s">
        <v>217</v>
      </c>
      <c r="B151" s="234">
        <f t="shared" si="46"/>
        <v>11892412788.48419</v>
      </c>
      <c r="C151" s="234">
        <f>$B$151-B126</f>
        <v>11549691958.844875</v>
      </c>
      <c r="D151" s="234">
        <f t="shared" ref="D151:L151" si="50">$B$151-C126</f>
        <v>11206971129.205563</v>
      </c>
      <c r="E151" s="234">
        <f t="shared" si="50"/>
        <v>10864250299.566248</v>
      </c>
      <c r="F151" s="234">
        <f t="shared" si="50"/>
        <v>10521529469.926935</v>
      </c>
      <c r="G151" s="234">
        <f t="shared" si="50"/>
        <v>10178808640.287621</v>
      </c>
      <c r="H151" s="234">
        <f t="shared" si="50"/>
        <v>9836087810.6483078</v>
      </c>
      <c r="I151" s="234">
        <f t="shared" si="50"/>
        <v>9493366981.0089931</v>
      </c>
      <c r="J151" s="234">
        <f t="shared" si="50"/>
        <v>9150646151.3696804</v>
      </c>
      <c r="K151" s="234">
        <f t="shared" si="50"/>
        <v>8807925321.7303658</v>
      </c>
      <c r="L151" s="234">
        <f t="shared" si="50"/>
        <v>8465204492.091053</v>
      </c>
    </row>
    <row r="152" spans="1:12" ht="15.75" thickBot="1">
      <c r="A152" s="225" t="s">
        <v>218</v>
      </c>
      <c r="B152" s="234">
        <f t="shared" si="46"/>
        <v>3086944265.6136708</v>
      </c>
      <c r="C152" s="234">
        <f>$B$152-B127</f>
        <v>2997467620.2335644</v>
      </c>
      <c r="D152" s="234">
        <f t="shared" ref="D152:L152" si="51">$B$152-C127</f>
        <v>2907990974.8534579</v>
      </c>
      <c r="E152" s="234">
        <f t="shared" si="51"/>
        <v>2818514329.4733515</v>
      </c>
      <c r="F152" s="234">
        <f t="shared" si="51"/>
        <v>2729037684.093245</v>
      </c>
      <c r="G152" s="234">
        <f t="shared" si="51"/>
        <v>2639561038.7131386</v>
      </c>
      <c r="H152" s="234">
        <f t="shared" si="51"/>
        <v>2550084393.3330326</v>
      </c>
      <c r="I152" s="234">
        <f t="shared" si="51"/>
        <v>2460607747.9529262</v>
      </c>
      <c r="J152" s="234">
        <f t="shared" si="51"/>
        <v>2371131102.5728197</v>
      </c>
      <c r="K152" s="234">
        <f t="shared" si="51"/>
        <v>2281654457.1927133</v>
      </c>
      <c r="L152" s="234">
        <f t="shared" si="51"/>
        <v>2192177811.8126068</v>
      </c>
    </row>
    <row r="153" spans="1:12" ht="15.75" thickBot="1">
      <c r="A153" s="226" t="s">
        <v>192</v>
      </c>
      <c r="B153" s="234">
        <f t="shared" si="46"/>
        <v>31079836.906484284</v>
      </c>
      <c r="C153" s="234">
        <f>$B$153-B128</f>
        <v>29907012.872277331</v>
      </c>
      <c r="D153" s="234">
        <f t="shared" ref="D153:L153" si="52">$B$153-C128</f>
        <v>28734188.838070374</v>
      </c>
      <c r="E153" s="234">
        <f t="shared" si="52"/>
        <v>27561364.803863421</v>
      </c>
      <c r="F153" s="234">
        <f t="shared" si="52"/>
        <v>26388540.769656468</v>
      </c>
      <c r="G153" s="234">
        <f t="shared" si="52"/>
        <v>25215716.735449515</v>
      </c>
      <c r="H153" s="234">
        <f t="shared" si="52"/>
        <v>24042892.701242559</v>
      </c>
      <c r="I153" s="234">
        <f t="shared" si="52"/>
        <v>22870068.667035606</v>
      </c>
      <c r="J153" s="234">
        <f t="shared" si="52"/>
        <v>21697244.632828653</v>
      </c>
      <c r="K153" s="234">
        <f t="shared" si="52"/>
        <v>20524420.598621696</v>
      </c>
      <c r="L153" s="234">
        <f t="shared" si="52"/>
        <v>19351596.56441474</v>
      </c>
    </row>
    <row r="154" spans="1:12" ht="15.75" thickBot="1">
      <c r="A154" s="226" t="s">
        <v>313</v>
      </c>
      <c r="B154" s="234">
        <f t="shared" si="46"/>
        <v>23309877.679863211</v>
      </c>
      <c r="C154" s="234">
        <f>$B$154-B129</f>
        <v>22569881.563042156</v>
      </c>
      <c r="D154" s="234">
        <f t="shared" ref="D154:L154" si="53">$B$154-C129</f>
        <v>21829885.446221102</v>
      </c>
      <c r="E154" s="234">
        <f t="shared" si="53"/>
        <v>21089889.329400048</v>
      </c>
      <c r="F154" s="234">
        <f t="shared" si="53"/>
        <v>20349893.212578993</v>
      </c>
      <c r="G154" s="234">
        <f t="shared" si="53"/>
        <v>19609897.095757939</v>
      </c>
      <c r="H154" s="234">
        <f t="shared" si="53"/>
        <v>18869900.978936885</v>
      </c>
      <c r="I154" s="234">
        <f t="shared" si="53"/>
        <v>18129904.86211583</v>
      </c>
      <c r="J154" s="234">
        <f t="shared" si="53"/>
        <v>17389908.745294776</v>
      </c>
      <c r="K154" s="234">
        <f t="shared" si="53"/>
        <v>16649912.628473721</v>
      </c>
      <c r="L154" s="234">
        <f t="shared" si="53"/>
        <v>15909916.511652667</v>
      </c>
    </row>
    <row r="155" spans="1:12" ht="15.75" thickBot="1">
      <c r="A155" s="225" t="s">
        <v>193</v>
      </c>
      <c r="B155" s="234">
        <f t="shared" si="46"/>
        <v>12431934.762593713</v>
      </c>
      <c r="C155" s="234">
        <f>+B155</f>
        <v>12431934.762593713</v>
      </c>
      <c r="D155" s="234">
        <f t="shared" ref="D155:L155" si="54">+C155</f>
        <v>12431934.762593713</v>
      </c>
      <c r="E155" s="234">
        <f t="shared" si="54"/>
        <v>12431934.762593713</v>
      </c>
      <c r="F155" s="234">
        <f t="shared" si="54"/>
        <v>12431934.762593713</v>
      </c>
      <c r="G155" s="234">
        <f t="shared" si="54"/>
        <v>12431934.762593713</v>
      </c>
      <c r="H155" s="234">
        <f t="shared" si="54"/>
        <v>12431934.762593713</v>
      </c>
      <c r="I155" s="234">
        <f t="shared" si="54"/>
        <v>12431934.762593713</v>
      </c>
      <c r="J155" s="234">
        <f t="shared" si="54"/>
        <v>12431934.762593713</v>
      </c>
      <c r="K155" s="234">
        <f t="shared" si="54"/>
        <v>12431934.762593713</v>
      </c>
      <c r="L155" s="234">
        <f t="shared" si="54"/>
        <v>12431934.762593713</v>
      </c>
    </row>
    <row r="156" spans="1:12" ht="15.75" thickBot="1">
      <c r="A156" s="226" t="s">
        <v>313</v>
      </c>
      <c r="B156" s="234">
        <f t="shared" si="46"/>
        <v>12127277.39286631</v>
      </c>
      <c r="C156" s="234">
        <f>$B$156-B130</f>
        <v>11848489.406823406</v>
      </c>
      <c r="D156" s="234">
        <f t="shared" ref="D156:L156" si="55">$B$156-C130</f>
        <v>11569701.420780502</v>
      </c>
      <c r="E156" s="234">
        <f t="shared" si="55"/>
        <v>11290913.434737599</v>
      </c>
      <c r="F156" s="234">
        <f t="shared" si="55"/>
        <v>11012125.448694695</v>
      </c>
      <c r="G156" s="234">
        <f t="shared" si="55"/>
        <v>10733337.462651791</v>
      </c>
      <c r="H156" s="234">
        <f t="shared" si="55"/>
        <v>10454549.476608887</v>
      </c>
      <c r="I156" s="234">
        <f t="shared" si="55"/>
        <v>10175761.490565984</v>
      </c>
      <c r="J156" s="234">
        <f t="shared" si="55"/>
        <v>9896973.5045230798</v>
      </c>
      <c r="K156" s="234">
        <f t="shared" si="55"/>
        <v>9618185.5184801761</v>
      </c>
      <c r="L156" s="234">
        <f t="shared" si="55"/>
        <v>9339397.5324372724</v>
      </c>
    </row>
    <row r="157" spans="1:12" ht="15.75" thickBot="1">
      <c r="A157" s="226" t="s">
        <v>318</v>
      </c>
      <c r="B157" s="234">
        <v>0</v>
      </c>
      <c r="C157" s="234">
        <v>0</v>
      </c>
      <c r="D157" s="326">
        <f>C91</f>
        <v>58000000000</v>
      </c>
      <c r="E157" s="234">
        <f>$C$91-D131</f>
        <v>56550000000</v>
      </c>
      <c r="F157" s="234">
        <f t="shared" ref="F157:L157" si="56">$C$91-E131</f>
        <v>55100000000</v>
      </c>
      <c r="G157" s="234">
        <f t="shared" si="56"/>
        <v>53650000000</v>
      </c>
      <c r="H157" s="234">
        <f t="shared" si="56"/>
        <v>52200000000</v>
      </c>
      <c r="I157" s="234">
        <f t="shared" si="56"/>
        <v>50750000000</v>
      </c>
      <c r="J157" s="234">
        <f t="shared" si="56"/>
        <v>49300000000</v>
      </c>
      <c r="K157" s="234">
        <f t="shared" si="56"/>
        <v>47850000000</v>
      </c>
      <c r="L157" s="234">
        <f t="shared" si="56"/>
        <v>46400000000</v>
      </c>
    </row>
    <row r="158" spans="1:12" ht="15.75" thickBot="1">
      <c r="A158" s="226" t="s">
        <v>319</v>
      </c>
      <c r="B158" s="234">
        <v>0</v>
      </c>
      <c r="C158" s="234">
        <f>$B$158-B132</f>
        <v>0</v>
      </c>
      <c r="D158" s="234">
        <f t="shared" ref="D158" si="57">$B$158-C132</f>
        <v>0</v>
      </c>
      <c r="E158" s="326">
        <f>C92</f>
        <v>100000000000</v>
      </c>
      <c r="F158" s="234">
        <f>$C$92-E132</f>
        <v>97777777777.777771</v>
      </c>
      <c r="G158" s="234">
        <f t="shared" ref="G158:L158" si="58">$C$92-F132</f>
        <v>95555555555.555557</v>
      </c>
      <c r="H158" s="234">
        <f t="shared" si="58"/>
        <v>93333333333.333328</v>
      </c>
      <c r="I158" s="234">
        <f t="shared" si="58"/>
        <v>91111111111.111115</v>
      </c>
      <c r="J158" s="234">
        <f t="shared" si="58"/>
        <v>88888888888.888885</v>
      </c>
      <c r="K158" s="234">
        <f t="shared" si="58"/>
        <v>86666666666.666672</v>
      </c>
      <c r="L158" s="234">
        <f t="shared" si="58"/>
        <v>84444444444.444443</v>
      </c>
    </row>
    <row r="159" spans="1:12" ht="15.75" thickBot="1">
      <c r="A159" s="226" t="s">
        <v>320</v>
      </c>
      <c r="B159" s="234">
        <v>0</v>
      </c>
      <c r="C159" s="234">
        <f>$B$159-B133</f>
        <v>0</v>
      </c>
      <c r="D159" s="234">
        <f t="shared" ref="D159:F159" si="59">$B$159-C133</f>
        <v>0</v>
      </c>
      <c r="E159" s="234">
        <f t="shared" si="59"/>
        <v>0</v>
      </c>
      <c r="F159" s="234">
        <f t="shared" si="59"/>
        <v>0</v>
      </c>
      <c r="G159" s="326">
        <f>C93</f>
        <v>2500000000</v>
      </c>
      <c r="H159" s="234">
        <f>$C$93-G133</f>
        <v>2444444444.4444447</v>
      </c>
      <c r="I159" s="234">
        <f t="shared" ref="I159:L159" si="60">$C$93-H133</f>
        <v>2388888888.8888888</v>
      </c>
      <c r="J159" s="234">
        <f t="shared" si="60"/>
        <v>2333333333.3333335</v>
      </c>
      <c r="K159" s="234">
        <f t="shared" si="60"/>
        <v>2277777777.7777777</v>
      </c>
      <c r="L159" s="234">
        <f t="shared" si="60"/>
        <v>2222222222.2222223</v>
      </c>
    </row>
    <row r="160" spans="1:12" ht="15.75" thickBot="1">
      <c r="A160" s="226" t="s">
        <v>321</v>
      </c>
      <c r="B160" s="234">
        <v>0</v>
      </c>
      <c r="C160" s="234">
        <f>$B$160-B134</f>
        <v>0</v>
      </c>
      <c r="D160" s="234">
        <f t="shared" ref="D160:F160" si="61">$B$160-C134</f>
        <v>0</v>
      </c>
      <c r="E160" s="234">
        <f t="shared" si="61"/>
        <v>0</v>
      </c>
      <c r="F160" s="234">
        <f t="shared" si="61"/>
        <v>0</v>
      </c>
      <c r="G160" s="326">
        <f>C94</f>
        <v>10000000000</v>
      </c>
      <c r="H160" s="234">
        <f>$C$94-G134</f>
        <v>9777777777.7777786</v>
      </c>
      <c r="I160" s="234">
        <f t="shared" ref="I160:L160" si="62">$C$94-H134</f>
        <v>9555555555.5555553</v>
      </c>
      <c r="J160" s="234">
        <f t="shared" si="62"/>
        <v>9333333333.333334</v>
      </c>
      <c r="K160" s="234">
        <f t="shared" si="62"/>
        <v>9111111111.1111107</v>
      </c>
      <c r="L160" s="234">
        <f t="shared" si="62"/>
        <v>8888888888.8888893</v>
      </c>
    </row>
    <row r="161" spans="1:12" ht="18.75" thickBot="1">
      <c r="A161" s="236" t="s">
        <v>333</v>
      </c>
      <c r="B161" s="237">
        <f>SUM(B147:B160)</f>
        <v>96535976288.02597</v>
      </c>
      <c r="C161" s="237">
        <f t="shared" ref="C161:L161" si="63">SUM(C147:C160)</f>
        <v>90777734009.032593</v>
      </c>
      <c r="D161" s="237">
        <f t="shared" si="63"/>
        <v>143019491730.03918</v>
      </c>
      <c r="E161" s="237">
        <f t="shared" si="63"/>
        <v>235811249451.04584</v>
      </c>
      <c r="F161" s="237">
        <f t="shared" si="63"/>
        <v>226380784949.8302</v>
      </c>
      <c r="G161" s="237">
        <f t="shared" si="63"/>
        <v>229450320448.61462</v>
      </c>
      <c r="H161" s="237">
        <f t="shared" si="63"/>
        <v>219742078169.62122</v>
      </c>
      <c r="I161" s="237">
        <f t="shared" si="63"/>
        <v>210033835890.62781</v>
      </c>
      <c r="J161" s="237">
        <f t="shared" si="63"/>
        <v>200325593611.63446</v>
      </c>
      <c r="K161" s="237">
        <f t="shared" si="63"/>
        <v>190617351332.64105</v>
      </c>
      <c r="L161" s="237">
        <f t="shared" si="63"/>
        <v>180909109053.64767</v>
      </c>
    </row>
    <row r="164" spans="1:12" s="138" customFormat="1" ht="15.75">
      <c r="A164" s="201"/>
      <c r="B164" s="202" t="s">
        <v>334</v>
      </c>
      <c r="C164" s="201"/>
      <c r="D164" s="201"/>
      <c r="E164" s="201"/>
      <c r="F164" s="201"/>
      <c r="G164" s="201"/>
      <c r="H164" s="201"/>
      <c r="I164" s="201"/>
    </row>
    <row r="167" spans="1:12">
      <c r="A167" t="s">
        <v>338</v>
      </c>
      <c r="B167" s="246">
        <v>0.12280000000000001</v>
      </c>
    </row>
    <row r="168" spans="1:12" ht="15.75" thickBot="1">
      <c r="C168" s="230">
        <v>42887</v>
      </c>
      <c r="D168" s="230">
        <v>43252</v>
      </c>
      <c r="E168" s="230">
        <v>43617</v>
      </c>
      <c r="F168" s="230">
        <v>43983</v>
      </c>
      <c r="G168" s="230">
        <v>44348</v>
      </c>
      <c r="H168" s="230">
        <v>44713</v>
      </c>
      <c r="I168" s="230">
        <v>45078</v>
      </c>
      <c r="J168" s="230">
        <v>45444</v>
      </c>
      <c r="K168" s="230">
        <v>45809</v>
      </c>
      <c r="L168" s="230">
        <v>46174</v>
      </c>
    </row>
    <row r="169" spans="1:12" ht="15.75" thickBot="1">
      <c r="A169" s="238" t="s">
        <v>194</v>
      </c>
      <c r="B169" s="239" t="s">
        <v>335</v>
      </c>
      <c r="C169" s="240">
        <v>1</v>
      </c>
      <c r="D169" s="240">
        <v>2</v>
      </c>
      <c r="E169" s="240">
        <v>3</v>
      </c>
      <c r="F169" s="240">
        <v>4</v>
      </c>
      <c r="G169" s="240">
        <v>5</v>
      </c>
      <c r="H169" s="240">
        <v>6</v>
      </c>
      <c r="I169" s="240">
        <v>7</v>
      </c>
      <c r="J169" s="240">
        <v>8</v>
      </c>
      <c r="K169" s="240">
        <v>9</v>
      </c>
      <c r="L169" s="240">
        <v>10</v>
      </c>
    </row>
    <row r="170" spans="1:12" ht="15.75" thickBot="1">
      <c r="A170" s="241"/>
      <c r="B170" s="209"/>
      <c r="C170" s="242" t="s">
        <v>195</v>
      </c>
      <c r="D170" s="242" t="s">
        <v>196</v>
      </c>
      <c r="E170" s="242" t="s">
        <v>197</v>
      </c>
      <c r="F170" s="242" t="s">
        <v>198</v>
      </c>
      <c r="G170" s="242" t="s">
        <v>199</v>
      </c>
      <c r="H170" s="242" t="s">
        <v>200</v>
      </c>
      <c r="I170" s="242" t="s">
        <v>201</v>
      </c>
      <c r="J170" s="242" t="s">
        <v>202</v>
      </c>
      <c r="K170" s="242" t="s">
        <v>203</v>
      </c>
      <c r="L170" s="242" t="s">
        <v>204</v>
      </c>
    </row>
    <row r="171" spans="1:12" ht="15.75" thickBot="1">
      <c r="A171" s="243" t="s">
        <v>241</v>
      </c>
      <c r="B171" s="264"/>
      <c r="C171" s="234">
        <f>+B114</f>
        <v>5758242278.9933853</v>
      </c>
      <c r="D171" s="234">
        <f t="shared" ref="D171:L171" si="64">+C114</f>
        <v>5758242278.9933853</v>
      </c>
      <c r="E171" s="234">
        <f t="shared" si="64"/>
        <v>7208242278.9933853</v>
      </c>
      <c r="F171" s="234">
        <f t="shared" si="64"/>
        <v>9430464501.2156067</v>
      </c>
      <c r="G171" s="234">
        <f t="shared" si="64"/>
        <v>9430464501.2156067</v>
      </c>
      <c r="H171" s="234">
        <f t="shared" si="64"/>
        <v>9708242278.9933834</v>
      </c>
      <c r="I171" s="234">
        <f t="shared" si="64"/>
        <v>9708242278.9933834</v>
      </c>
      <c r="J171" s="234">
        <f t="shared" si="64"/>
        <v>9708242278.9933834</v>
      </c>
      <c r="K171" s="234">
        <f t="shared" si="64"/>
        <v>9708242278.9933834</v>
      </c>
      <c r="L171" s="234">
        <f t="shared" si="64"/>
        <v>9708242278.9933834</v>
      </c>
    </row>
    <row r="172" spans="1:12" ht="18.75" thickBot="1">
      <c r="A172" s="244" t="s">
        <v>336</v>
      </c>
      <c r="B172" s="264"/>
      <c r="C172" s="234">
        <f>B161*$B$167</f>
        <v>11854617888.16959</v>
      </c>
      <c r="D172" s="234">
        <f t="shared" ref="D172:L172" si="65">C161*$B$167</f>
        <v>11147505736.309202</v>
      </c>
      <c r="E172" s="234">
        <f t="shared" si="65"/>
        <v>17562793584.448814</v>
      </c>
      <c r="F172" s="234">
        <f t="shared" si="65"/>
        <v>28957621432.588428</v>
      </c>
      <c r="G172" s="234">
        <f t="shared" si="65"/>
        <v>27799560391.839149</v>
      </c>
      <c r="H172" s="234">
        <f t="shared" si="65"/>
        <v>28176499351.089878</v>
      </c>
      <c r="I172" s="234">
        <f t="shared" si="65"/>
        <v>26984327199.229488</v>
      </c>
      <c r="J172" s="234">
        <f t="shared" si="65"/>
        <v>25792155047.369095</v>
      </c>
      <c r="K172" s="234">
        <f t="shared" si="65"/>
        <v>24599982895.508713</v>
      </c>
      <c r="L172" s="234">
        <f t="shared" si="65"/>
        <v>23407810743.648323</v>
      </c>
    </row>
    <row r="173" spans="1:12" ht="18.75" thickBot="1">
      <c r="A173" s="245" t="s">
        <v>337</v>
      </c>
      <c r="B173" s="237">
        <f>NPV(B167,C173:L173)</f>
        <v>163383064876.91953</v>
      </c>
      <c r="C173" s="234">
        <f>C171+C172</f>
        <v>17612860167.162975</v>
      </c>
      <c r="D173" s="234">
        <f t="shared" ref="D173:L173" si="66">D171+D172</f>
        <v>16905748015.302588</v>
      </c>
      <c r="E173" s="234">
        <f t="shared" si="66"/>
        <v>24771035863.4422</v>
      </c>
      <c r="F173" s="234">
        <f t="shared" si="66"/>
        <v>38388085933.804031</v>
      </c>
      <c r="G173" s="234">
        <f t="shared" si="66"/>
        <v>37230024893.054756</v>
      </c>
      <c r="H173" s="234">
        <f t="shared" si="66"/>
        <v>37884741630.08326</v>
      </c>
      <c r="I173" s="234">
        <f t="shared" si="66"/>
        <v>36692569478.22287</v>
      </c>
      <c r="J173" s="234">
        <f t="shared" si="66"/>
        <v>35500397326.36248</v>
      </c>
      <c r="K173" s="234">
        <f t="shared" si="66"/>
        <v>34308225174.502098</v>
      </c>
      <c r="L173" s="234">
        <f t="shared" si="66"/>
        <v>33116053022.641708</v>
      </c>
    </row>
    <row r="174" spans="1:12" ht="15.75" thickBot="1">
      <c r="A174" s="245" t="s">
        <v>164</v>
      </c>
      <c r="B174" s="237">
        <f>NPV(B167,C174:L174)</f>
        <v>188731068.01998952</v>
      </c>
      <c r="C174" s="234">
        <f>+'CCP APS 1'!D28</f>
        <v>32879387.211656652</v>
      </c>
      <c r="D174" s="234">
        <f>+'CCP APS 1'!E28</f>
        <v>32522955.043991636</v>
      </c>
      <c r="E174" s="234">
        <f>+'CCP APS 1'!F28</f>
        <v>33668360.806355253</v>
      </c>
      <c r="F174" s="234">
        <f>+'CCP APS 1'!G28</f>
        <v>33825995.830012739</v>
      </c>
      <c r="G174" s="234">
        <f>+'CCP APS 1'!H28</f>
        <v>33976315.72729855</v>
      </c>
      <c r="H174" s="234">
        <f>+'CCP APS 1'!I28</f>
        <v>34118723.032524735</v>
      </c>
      <c r="I174" s="234">
        <f>+'CCP APS 1'!J28</f>
        <v>34172162.637747072</v>
      </c>
      <c r="J174" s="234">
        <f>+'CCP APS 1'!K28</f>
        <v>34661524.869131267</v>
      </c>
      <c r="K174" s="234">
        <f>+'CCP APS 1'!L28</f>
        <v>35161339.074051835</v>
      </c>
      <c r="L174" s="234">
        <f>+'CCP APS 1'!M28</f>
        <v>35671957.395445272</v>
      </c>
    </row>
    <row r="176" spans="1:12">
      <c r="A176" s="248" t="s">
        <v>190</v>
      </c>
      <c r="B176" s="265">
        <f>B173/B174</f>
        <v>865.69247231523502</v>
      </c>
    </row>
  </sheetData>
  <mergeCells count="16">
    <mergeCell ref="A1:H1"/>
    <mergeCell ref="A50:A51"/>
    <mergeCell ref="B50:B51"/>
    <mergeCell ref="C50:C51"/>
    <mergeCell ref="D50:D51"/>
    <mergeCell ref="E50:E51"/>
    <mergeCell ref="H79:H80"/>
    <mergeCell ref="A79:A80"/>
    <mergeCell ref="A145:A146"/>
    <mergeCell ref="B145:B146"/>
    <mergeCell ref="B79:B80"/>
    <mergeCell ref="C79:C80"/>
    <mergeCell ref="D79:D80"/>
    <mergeCell ref="E79:E80"/>
    <mergeCell ref="F79:F80"/>
    <mergeCell ref="G79:G80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3"/>
  <dimension ref="A1:DX175"/>
  <sheetViews>
    <sheetView workbookViewId="0">
      <selection sqref="A1:H1"/>
    </sheetView>
  </sheetViews>
  <sheetFormatPr baseColWidth="10" defaultRowHeight="15"/>
  <cols>
    <col min="1" max="1" width="37.28515625" customWidth="1"/>
    <col min="2" max="2" width="23.7109375" bestFit="1" customWidth="1"/>
    <col min="3" max="3" width="14.140625" customWidth="1"/>
    <col min="4" max="4" width="15.140625" bestFit="1" customWidth="1"/>
    <col min="5" max="5" width="14.42578125" bestFit="1" customWidth="1"/>
    <col min="6" max="6" width="12.5703125" bestFit="1" customWidth="1"/>
    <col min="7" max="7" width="14.42578125" bestFit="1" customWidth="1"/>
    <col min="8" max="14" width="12.5703125" bestFit="1" customWidth="1"/>
    <col min="15" max="15" width="15.42578125" bestFit="1" customWidth="1"/>
    <col min="16" max="16" width="13.140625" customWidth="1"/>
  </cols>
  <sheetData>
    <row r="1" spans="1:32" ht="21">
      <c r="A1" s="350" t="s">
        <v>284</v>
      </c>
      <c r="B1" s="350"/>
      <c r="C1" s="350"/>
      <c r="D1" s="350"/>
      <c r="E1" s="350"/>
      <c r="F1" s="350"/>
      <c r="G1" s="350"/>
      <c r="H1" s="350"/>
    </row>
    <row r="3" spans="1:32" s="138" customFormat="1" ht="15.75">
      <c r="A3" s="201"/>
      <c r="B3" s="202" t="s">
        <v>205</v>
      </c>
      <c r="C3" s="201"/>
      <c r="D3" s="201"/>
      <c r="E3" s="201"/>
      <c r="F3" s="201"/>
      <c r="G3" s="201"/>
      <c r="H3" s="201"/>
      <c r="I3" s="201"/>
    </row>
    <row r="6" spans="1:32" ht="15.75" thickBot="1">
      <c r="C6" s="17"/>
      <c r="D6" s="17"/>
      <c r="E6" s="17"/>
      <c r="F6" s="17"/>
      <c r="G6" s="17"/>
    </row>
    <row r="7" spans="1:32">
      <c r="A7" s="164" t="s">
        <v>287</v>
      </c>
      <c r="B7" s="195"/>
      <c r="C7" s="198"/>
      <c r="D7" s="17"/>
      <c r="E7" s="17"/>
      <c r="F7" s="17"/>
      <c r="G7" s="17"/>
    </row>
    <row r="8" spans="1:32">
      <c r="A8" s="165" t="s">
        <v>288</v>
      </c>
      <c r="B8" s="196">
        <v>0.13339999999999999</v>
      </c>
      <c r="C8" s="199"/>
      <c r="D8" s="199"/>
      <c r="E8" s="17"/>
      <c r="F8" s="17"/>
      <c r="G8" s="17"/>
      <c r="P8" s="135"/>
    </row>
    <row r="9" spans="1:32">
      <c r="A9" s="165" t="s">
        <v>289</v>
      </c>
      <c r="B9" s="197">
        <v>35000</v>
      </c>
      <c r="C9" s="200"/>
      <c r="D9" s="17"/>
      <c r="E9" s="17"/>
      <c r="F9" s="17"/>
      <c r="G9" s="17"/>
    </row>
    <row r="10" spans="1:32">
      <c r="A10" s="165" t="s">
        <v>296</v>
      </c>
      <c r="B10" s="197">
        <f>14*B9*12</f>
        <v>5880000</v>
      </c>
      <c r="C10" s="200"/>
      <c r="D10" s="17"/>
      <c r="E10" s="17"/>
      <c r="F10" s="17"/>
      <c r="G10" s="17"/>
    </row>
    <row r="11" spans="1:32">
      <c r="A11" s="17"/>
      <c r="B11" s="32"/>
      <c r="F11" s="15"/>
    </row>
    <row r="13" spans="1:32">
      <c r="A13" s="139" t="s">
        <v>127</v>
      </c>
      <c r="B13" s="139">
        <v>2003</v>
      </c>
      <c r="C13" s="139">
        <f t="shared" ref="C13:AF13" si="0">+B13+1</f>
        <v>2004</v>
      </c>
      <c r="D13" s="139">
        <f t="shared" si="0"/>
        <v>2005</v>
      </c>
      <c r="E13" s="139">
        <f t="shared" si="0"/>
        <v>2006</v>
      </c>
      <c r="F13" s="139">
        <f t="shared" si="0"/>
        <v>2007</v>
      </c>
      <c r="G13" s="139">
        <f t="shared" si="0"/>
        <v>2008</v>
      </c>
      <c r="H13" s="139">
        <f t="shared" si="0"/>
        <v>2009</v>
      </c>
      <c r="I13" s="139">
        <f t="shared" si="0"/>
        <v>2010</v>
      </c>
      <c r="J13" s="139">
        <f t="shared" si="0"/>
        <v>2011</v>
      </c>
      <c r="K13" s="139">
        <f t="shared" si="0"/>
        <v>2012</v>
      </c>
      <c r="L13" s="139">
        <f t="shared" si="0"/>
        <v>2013</v>
      </c>
      <c r="M13" s="139">
        <f t="shared" si="0"/>
        <v>2014</v>
      </c>
      <c r="N13" s="139">
        <f t="shared" si="0"/>
        <v>2015</v>
      </c>
      <c r="O13" s="139">
        <f t="shared" si="0"/>
        <v>2016</v>
      </c>
      <c r="P13" s="139">
        <f t="shared" si="0"/>
        <v>2017</v>
      </c>
      <c r="Q13" s="139">
        <f t="shared" si="0"/>
        <v>2018</v>
      </c>
      <c r="R13" s="139">
        <f t="shared" si="0"/>
        <v>2019</v>
      </c>
      <c r="S13" s="139">
        <f t="shared" si="0"/>
        <v>2020</v>
      </c>
      <c r="T13" s="139">
        <f t="shared" si="0"/>
        <v>2021</v>
      </c>
      <c r="U13" s="139">
        <f t="shared" si="0"/>
        <v>2022</v>
      </c>
      <c r="V13" s="139">
        <f t="shared" si="0"/>
        <v>2023</v>
      </c>
      <c r="W13" s="139">
        <f t="shared" si="0"/>
        <v>2024</v>
      </c>
      <c r="X13" s="139">
        <f t="shared" si="0"/>
        <v>2025</v>
      </c>
      <c r="Y13" s="139">
        <f t="shared" si="0"/>
        <v>2026</v>
      </c>
      <c r="Z13" s="139">
        <f t="shared" si="0"/>
        <v>2027</v>
      </c>
      <c r="AA13" s="139">
        <f t="shared" si="0"/>
        <v>2028</v>
      </c>
      <c r="AB13" s="139">
        <f t="shared" si="0"/>
        <v>2029</v>
      </c>
      <c r="AC13" s="139">
        <f t="shared" si="0"/>
        <v>2030</v>
      </c>
      <c r="AD13" s="139">
        <f t="shared" si="0"/>
        <v>2031</v>
      </c>
      <c r="AE13" s="139">
        <f t="shared" si="0"/>
        <v>2032</v>
      </c>
      <c r="AF13" s="139">
        <f t="shared" si="0"/>
        <v>2033</v>
      </c>
    </row>
    <row r="14" spans="1:32">
      <c r="B14" s="166" t="s">
        <v>290</v>
      </c>
      <c r="C14">
        <v>1</v>
      </c>
      <c r="D14">
        <v>2</v>
      </c>
      <c r="E14">
        <v>3</v>
      </c>
      <c r="F14">
        <v>4</v>
      </c>
      <c r="G14">
        <v>5</v>
      </c>
      <c r="H14">
        <v>6</v>
      </c>
      <c r="I14">
        <v>7</v>
      </c>
      <c r="J14">
        <v>8</v>
      </c>
      <c r="K14">
        <v>9</v>
      </c>
      <c r="L14">
        <v>10</v>
      </c>
      <c r="M14">
        <v>11</v>
      </c>
      <c r="N14">
        <v>12</v>
      </c>
      <c r="O14">
        <v>13</v>
      </c>
      <c r="P14">
        <v>14</v>
      </c>
      <c r="Q14">
        <v>15</v>
      </c>
      <c r="R14">
        <v>16</v>
      </c>
      <c r="S14">
        <v>17</v>
      </c>
      <c r="T14">
        <v>18</v>
      </c>
      <c r="U14">
        <v>19</v>
      </c>
      <c r="V14">
        <v>20</v>
      </c>
      <c r="W14">
        <v>21</v>
      </c>
      <c r="X14">
        <v>22</v>
      </c>
      <c r="Y14">
        <v>23</v>
      </c>
      <c r="Z14">
        <v>24</v>
      </c>
      <c r="AA14">
        <v>25</v>
      </c>
      <c r="AB14">
        <v>26</v>
      </c>
      <c r="AC14">
        <v>27</v>
      </c>
      <c r="AD14">
        <v>28</v>
      </c>
      <c r="AE14">
        <v>29</v>
      </c>
      <c r="AF14">
        <v>30</v>
      </c>
    </row>
    <row r="16" spans="1:32" ht="15.75" thickBot="1">
      <c r="A16" s="167" t="s">
        <v>297</v>
      </c>
      <c r="B16" s="168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70" t="s">
        <v>291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1:128">
      <c r="A17" s="171" t="s">
        <v>127</v>
      </c>
      <c r="B17" s="172">
        <v>2003</v>
      </c>
      <c r="C17" s="172">
        <f t="shared" ref="C17:AF17" si="1">+B17+1</f>
        <v>2004</v>
      </c>
      <c r="D17" s="172">
        <f t="shared" si="1"/>
        <v>2005</v>
      </c>
      <c r="E17" s="172">
        <f t="shared" si="1"/>
        <v>2006</v>
      </c>
      <c r="F17" s="172">
        <f t="shared" si="1"/>
        <v>2007</v>
      </c>
      <c r="G17" s="172">
        <f t="shared" si="1"/>
        <v>2008</v>
      </c>
      <c r="H17" s="172">
        <f t="shared" si="1"/>
        <v>2009</v>
      </c>
      <c r="I17" s="172">
        <f t="shared" si="1"/>
        <v>2010</v>
      </c>
      <c r="J17" s="172">
        <f t="shared" si="1"/>
        <v>2011</v>
      </c>
      <c r="K17" s="172">
        <f t="shared" si="1"/>
        <v>2012</v>
      </c>
      <c r="L17" s="172">
        <f t="shared" si="1"/>
        <v>2013</v>
      </c>
      <c r="M17" s="172">
        <f t="shared" si="1"/>
        <v>2014</v>
      </c>
      <c r="N17" s="173">
        <f t="shared" si="1"/>
        <v>2015</v>
      </c>
      <c r="O17" s="139">
        <f t="shared" si="1"/>
        <v>2016</v>
      </c>
      <c r="P17" s="139">
        <f t="shared" si="1"/>
        <v>2017</v>
      </c>
      <c r="Q17" s="139">
        <f t="shared" si="1"/>
        <v>2018</v>
      </c>
      <c r="R17" s="139">
        <f t="shared" si="1"/>
        <v>2019</v>
      </c>
      <c r="S17" s="139">
        <f t="shared" si="1"/>
        <v>2020</v>
      </c>
      <c r="T17" s="139">
        <f t="shared" si="1"/>
        <v>2021</v>
      </c>
      <c r="U17" s="139">
        <f t="shared" si="1"/>
        <v>2022</v>
      </c>
      <c r="V17" s="139">
        <f t="shared" si="1"/>
        <v>2023</v>
      </c>
      <c r="W17" s="139">
        <f t="shared" si="1"/>
        <v>2024</v>
      </c>
      <c r="X17" s="139">
        <f t="shared" si="1"/>
        <v>2025</v>
      </c>
      <c r="Y17" s="139">
        <f t="shared" si="1"/>
        <v>2026</v>
      </c>
      <c r="Z17" s="139">
        <f t="shared" si="1"/>
        <v>2027</v>
      </c>
      <c r="AA17" s="139">
        <f t="shared" si="1"/>
        <v>2028</v>
      </c>
      <c r="AB17" s="139">
        <f t="shared" si="1"/>
        <v>2029</v>
      </c>
      <c r="AC17" s="139">
        <f t="shared" si="1"/>
        <v>2030</v>
      </c>
      <c r="AD17" s="139">
        <f t="shared" si="1"/>
        <v>2031</v>
      </c>
      <c r="AE17" s="139">
        <f t="shared" si="1"/>
        <v>2032</v>
      </c>
      <c r="AF17" s="139">
        <f t="shared" si="1"/>
        <v>2033</v>
      </c>
    </row>
    <row r="18" spans="1:128">
      <c r="A18" s="174"/>
      <c r="B18" s="175" t="s">
        <v>290</v>
      </c>
      <c r="C18" s="176">
        <v>1</v>
      </c>
      <c r="D18" s="176">
        <v>2</v>
      </c>
      <c r="E18" s="176">
        <v>3</v>
      </c>
      <c r="F18" s="176">
        <v>4</v>
      </c>
      <c r="G18" s="176">
        <v>5</v>
      </c>
      <c r="H18" s="176">
        <v>6</v>
      </c>
      <c r="I18" s="176">
        <v>7</v>
      </c>
      <c r="J18" s="176">
        <v>8</v>
      </c>
      <c r="K18" s="176">
        <v>9</v>
      </c>
      <c r="L18" s="176">
        <v>10</v>
      </c>
      <c r="M18" s="176">
        <v>11</v>
      </c>
      <c r="N18" s="177">
        <v>12</v>
      </c>
      <c r="O18" s="136">
        <v>13</v>
      </c>
      <c r="P18">
        <v>14</v>
      </c>
      <c r="Q18">
        <v>15</v>
      </c>
      <c r="R18">
        <v>16</v>
      </c>
      <c r="S18">
        <v>17</v>
      </c>
      <c r="T18">
        <v>18</v>
      </c>
      <c r="U18">
        <v>19</v>
      </c>
      <c r="V18">
        <v>20</v>
      </c>
      <c r="W18">
        <v>21</v>
      </c>
      <c r="X18">
        <v>22</v>
      </c>
      <c r="Y18">
        <v>23</v>
      </c>
      <c r="Z18">
        <v>24</v>
      </c>
      <c r="AA18">
        <v>25</v>
      </c>
      <c r="AB18">
        <v>26</v>
      </c>
      <c r="AC18">
        <v>27</v>
      </c>
      <c r="AD18">
        <v>28</v>
      </c>
      <c r="AE18">
        <v>29</v>
      </c>
      <c r="AF18">
        <v>30</v>
      </c>
    </row>
    <row r="19" spans="1:128">
      <c r="A19" s="178" t="s">
        <v>213</v>
      </c>
      <c r="B19" s="179">
        <f>NPV($B$8,C19:N19)</f>
        <v>4852655726.1337566</v>
      </c>
      <c r="C19" s="247">
        <v>5500000000</v>
      </c>
      <c r="D19" s="247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0</v>
      </c>
      <c r="M19" s="247">
        <v>0</v>
      </c>
      <c r="N19" s="247">
        <v>0</v>
      </c>
      <c r="O19" s="189">
        <f t="shared" ref="O19:O24" si="2">+B19/$B$25*$B$37*(1+$B$8)^($B$39)*$B$38</f>
        <v>8567673464.0315189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6"/>
      <c r="AH19" s="16"/>
    </row>
    <row r="20" spans="1:128">
      <c r="A20" s="178" t="s">
        <v>214</v>
      </c>
      <c r="B20" s="179">
        <f t="shared" ref="B20:B24" si="3">NPV($B$8,C20:N20)</f>
        <v>655814363.8609494</v>
      </c>
      <c r="C20" s="247">
        <v>743300000</v>
      </c>
      <c r="D20" s="247">
        <v>0</v>
      </c>
      <c r="E20" s="247">
        <v>0</v>
      </c>
      <c r="F20" s="247">
        <v>0</v>
      </c>
      <c r="G20" s="247">
        <v>0</v>
      </c>
      <c r="H20" s="247">
        <v>0</v>
      </c>
      <c r="I20" s="247">
        <v>0</v>
      </c>
      <c r="J20" s="247">
        <v>0</v>
      </c>
      <c r="K20" s="247">
        <v>0</v>
      </c>
      <c r="L20" s="247">
        <v>0</v>
      </c>
      <c r="M20" s="247">
        <v>0</v>
      </c>
      <c r="N20" s="247">
        <v>0</v>
      </c>
      <c r="O20" s="189">
        <f t="shared" si="2"/>
        <v>1157882124.6935689</v>
      </c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6"/>
      <c r="AH20" s="16"/>
    </row>
    <row r="21" spans="1:128">
      <c r="A21" s="178" t="s">
        <v>215</v>
      </c>
      <c r="B21" s="179">
        <f t="shared" si="3"/>
        <v>963472736.89782953</v>
      </c>
      <c r="C21" s="247">
        <v>1092000000</v>
      </c>
      <c r="D21" s="247">
        <v>0</v>
      </c>
      <c r="E21" s="247">
        <v>0</v>
      </c>
      <c r="F21" s="247">
        <v>0</v>
      </c>
      <c r="G21" s="247">
        <v>0</v>
      </c>
      <c r="H21" s="247">
        <v>0</v>
      </c>
      <c r="I21" s="247">
        <v>0</v>
      </c>
      <c r="J21" s="247">
        <v>0</v>
      </c>
      <c r="K21" s="247">
        <v>0</v>
      </c>
      <c r="L21" s="247">
        <v>0</v>
      </c>
      <c r="M21" s="247">
        <v>0</v>
      </c>
      <c r="N21" s="247">
        <v>0</v>
      </c>
      <c r="O21" s="189">
        <f t="shared" si="2"/>
        <v>1701072622.3131671</v>
      </c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6"/>
      <c r="AH21" s="16"/>
    </row>
    <row r="22" spans="1:128">
      <c r="A22" s="178" t="s">
        <v>216</v>
      </c>
      <c r="B22" s="179">
        <f t="shared" si="3"/>
        <v>3967630092.0734935</v>
      </c>
      <c r="C22" s="247">
        <v>0</v>
      </c>
      <c r="D22" s="247">
        <v>5096800000</v>
      </c>
      <c r="E22" s="247">
        <v>0</v>
      </c>
      <c r="F22" s="247">
        <v>0</v>
      </c>
      <c r="G22" s="247">
        <v>0</v>
      </c>
      <c r="H22" s="247">
        <v>0</v>
      </c>
      <c r="I22" s="247">
        <v>0</v>
      </c>
      <c r="J22" s="247">
        <v>0</v>
      </c>
      <c r="K22" s="247">
        <v>0</v>
      </c>
      <c r="L22" s="247">
        <v>0</v>
      </c>
      <c r="M22" s="247">
        <v>0</v>
      </c>
      <c r="N22" s="247">
        <v>0</v>
      </c>
      <c r="O22" s="189">
        <f t="shared" si="2"/>
        <v>7005104209.6148138</v>
      </c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6"/>
      <c r="AH22" s="16"/>
    </row>
    <row r="23" spans="1:128">
      <c r="A23" s="178" t="s">
        <v>217</v>
      </c>
      <c r="B23" s="179">
        <f t="shared" si="3"/>
        <v>673575916.00402606</v>
      </c>
      <c r="C23" s="247">
        <v>0</v>
      </c>
      <c r="D23" s="247">
        <v>0</v>
      </c>
      <c r="E23" s="247">
        <v>980700000</v>
      </c>
      <c r="F23" s="247">
        <v>0</v>
      </c>
      <c r="G23" s="247">
        <v>0</v>
      </c>
      <c r="H23" s="247">
        <v>0</v>
      </c>
      <c r="I23" s="247">
        <v>0</v>
      </c>
      <c r="J23" s="247">
        <v>0</v>
      </c>
      <c r="K23" s="247">
        <v>0</v>
      </c>
      <c r="L23" s="247">
        <v>0</v>
      </c>
      <c r="M23" s="247">
        <v>0</v>
      </c>
      <c r="N23" s="247">
        <v>0</v>
      </c>
      <c r="O23" s="189">
        <f t="shared" si="2"/>
        <v>1189241278.8484204</v>
      </c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6"/>
      <c r="AH23" s="16"/>
    </row>
    <row r="24" spans="1:128">
      <c r="A24" s="178" t="s">
        <v>218</v>
      </c>
      <c r="B24" s="179">
        <f t="shared" si="3"/>
        <v>1748418380.9845121</v>
      </c>
      <c r="C24" s="249">
        <v>300000000</v>
      </c>
      <c r="D24" s="249">
        <v>300000000</v>
      </c>
      <c r="E24" s="249">
        <v>300000000</v>
      </c>
      <c r="F24" s="249">
        <v>300000000</v>
      </c>
      <c r="G24" s="249">
        <v>300000000</v>
      </c>
      <c r="H24" s="249">
        <v>300000000</v>
      </c>
      <c r="I24" s="249">
        <v>300000000</v>
      </c>
      <c r="J24" s="249">
        <v>300000000</v>
      </c>
      <c r="K24" s="249">
        <v>300000000</v>
      </c>
      <c r="L24" s="249">
        <v>300000000</v>
      </c>
      <c r="M24" s="249">
        <v>300000000</v>
      </c>
      <c r="N24" s="249">
        <v>300000000</v>
      </c>
      <c r="O24" s="189">
        <f t="shared" si="2"/>
        <v>3086944265.6136732</v>
      </c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6"/>
      <c r="AH24" s="16"/>
    </row>
    <row r="25" spans="1:128" ht="15.75" thickBot="1">
      <c r="A25" s="180" t="s">
        <v>292</v>
      </c>
      <c r="B25" s="181">
        <f t="shared" ref="B25:O25" si="4">SUM(B19:B24)</f>
        <v>12861567215.954569</v>
      </c>
      <c r="C25" s="250">
        <f t="shared" si="4"/>
        <v>7635300000</v>
      </c>
      <c r="D25" s="250">
        <f t="shared" si="4"/>
        <v>5396800000</v>
      </c>
      <c r="E25" s="250">
        <f t="shared" si="4"/>
        <v>1280700000</v>
      </c>
      <c r="F25" s="251">
        <f t="shared" si="4"/>
        <v>300000000</v>
      </c>
      <c r="G25" s="251">
        <f t="shared" si="4"/>
        <v>300000000</v>
      </c>
      <c r="H25" s="251">
        <f t="shared" si="4"/>
        <v>300000000</v>
      </c>
      <c r="I25" s="251">
        <f t="shared" si="4"/>
        <v>300000000</v>
      </c>
      <c r="J25" s="251">
        <f t="shared" si="4"/>
        <v>300000000</v>
      </c>
      <c r="K25" s="251">
        <f t="shared" si="4"/>
        <v>300000000</v>
      </c>
      <c r="L25" s="251">
        <f t="shared" si="4"/>
        <v>300000000</v>
      </c>
      <c r="M25" s="251">
        <f t="shared" si="4"/>
        <v>300000000</v>
      </c>
      <c r="N25" s="252">
        <f t="shared" si="4"/>
        <v>300000000</v>
      </c>
      <c r="O25" s="189">
        <f t="shared" si="4"/>
        <v>22707917965.115162</v>
      </c>
      <c r="P25" s="140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16"/>
      <c r="AH25" s="16"/>
    </row>
    <row r="26" spans="1:128">
      <c r="A26" s="183" t="s">
        <v>298</v>
      </c>
      <c r="B26" s="182">
        <f>B25+(B25*10%)</f>
        <v>14147723937.550026</v>
      </c>
      <c r="C26" s="137"/>
      <c r="D26" s="137"/>
      <c r="E26" s="137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</row>
    <row r="27" spans="1:128">
      <c r="O27" s="67"/>
    </row>
    <row r="28" spans="1:128">
      <c r="A28" s="184" t="s">
        <v>306</v>
      </c>
      <c r="B28" s="188">
        <f>NPV($B$8,C28:O28)</f>
        <v>41683833.694276862</v>
      </c>
      <c r="C28" s="188">
        <f>+B10*(1+0.03)</f>
        <v>6056400</v>
      </c>
      <c r="D28" s="188">
        <f>+C28*(1+0.03)</f>
        <v>6238092</v>
      </c>
      <c r="E28" s="188">
        <f t="shared" ref="E28:AF28" si="5">+D28*(1+0.03)</f>
        <v>6425234.7599999998</v>
      </c>
      <c r="F28" s="188">
        <f t="shared" si="5"/>
        <v>6617991.8027999997</v>
      </c>
      <c r="G28" s="188">
        <f t="shared" si="5"/>
        <v>6816531.5568840001</v>
      </c>
      <c r="H28" s="188">
        <f t="shared" si="5"/>
        <v>7021027.5035905205</v>
      </c>
      <c r="I28" s="188">
        <f t="shared" si="5"/>
        <v>7231658.3286982365</v>
      </c>
      <c r="J28" s="188">
        <f t="shared" si="5"/>
        <v>7448608.0785591835</v>
      </c>
      <c r="K28" s="188">
        <f t="shared" si="5"/>
        <v>7672066.3209159588</v>
      </c>
      <c r="L28" s="188">
        <f t="shared" si="5"/>
        <v>7902228.3105434375</v>
      </c>
      <c r="M28" s="188">
        <f t="shared" si="5"/>
        <v>8139295.1598597411</v>
      </c>
      <c r="N28" s="188">
        <f t="shared" si="5"/>
        <v>8383474.0146555332</v>
      </c>
      <c r="O28" s="188">
        <f t="shared" si="5"/>
        <v>8634978.2350951992</v>
      </c>
      <c r="P28" s="188">
        <f t="shared" si="5"/>
        <v>8894027.5821480546</v>
      </c>
      <c r="Q28" s="188">
        <f t="shared" si="5"/>
        <v>9160848.4096124973</v>
      </c>
      <c r="R28" s="188">
        <f t="shared" si="5"/>
        <v>9435673.8619008716</v>
      </c>
      <c r="S28" s="188">
        <f t="shared" si="5"/>
        <v>9718744.0777578987</v>
      </c>
      <c r="T28" s="188">
        <f t="shared" si="5"/>
        <v>10010306.400090637</v>
      </c>
      <c r="U28" s="188">
        <f t="shared" si="5"/>
        <v>10310615.592093356</v>
      </c>
      <c r="V28" s="188">
        <f t="shared" si="5"/>
        <v>10619934.059856158</v>
      </c>
      <c r="W28" s="188">
        <f t="shared" si="5"/>
        <v>10938532.081651842</v>
      </c>
      <c r="X28" s="188">
        <f t="shared" si="5"/>
        <v>11266688.044101398</v>
      </c>
      <c r="Y28" s="188">
        <f t="shared" si="5"/>
        <v>11604688.685424441</v>
      </c>
      <c r="Z28" s="188">
        <f t="shared" si="5"/>
        <v>11952829.345987175</v>
      </c>
      <c r="AA28" s="188">
        <f t="shared" si="5"/>
        <v>12311414.22636679</v>
      </c>
      <c r="AB28" s="188">
        <f t="shared" si="5"/>
        <v>12680756.653157795</v>
      </c>
      <c r="AC28" s="188">
        <f t="shared" si="5"/>
        <v>13061179.352752529</v>
      </c>
      <c r="AD28" s="188">
        <f t="shared" si="5"/>
        <v>13453014.733335106</v>
      </c>
      <c r="AE28" s="188">
        <f t="shared" si="5"/>
        <v>13856605.17533516</v>
      </c>
      <c r="AF28" s="188">
        <f t="shared" si="5"/>
        <v>14272303.330595214</v>
      </c>
    </row>
    <row r="29" spans="1:128">
      <c r="A29" s="184" t="s">
        <v>305</v>
      </c>
      <c r="B29" s="188">
        <f>NPV($B$8,C29:N29)</f>
        <v>28895099.366807692</v>
      </c>
      <c r="C29" s="187">
        <v>0</v>
      </c>
      <c r="D29" s="187">
        <v>0</v>
      </c>
      <c r="E29" s="186">
        <f>E28*97%</f>
        <v>6232477.7171999998</v>
      </c>
      <c r="F29" s="186">
        <f t="shared" ref="F29:N29" si="6">F28*97%</f>
        <v>6419452.0487159993</v>
      </c>
      <c r="G29" s="186">
        <f t="shared" si="6"/>
        <v>6612035.6101774797</v>
      </c>
      <c r="H29" s="186">
        <f t="shared" si="6"/>
        <v>6810396.6784828044</v>
      </c>
      <c r="I29" s="186">
        <f t="shared" si="6"/>
        <v>7014708.5788372895</v>
      </c>
      <c r="J29" s="186">
        <f t="shared" si="6"/>
        <v>7225149.8362024082</v>
      </c>
      <c r="K29" s="186">
        <f t="shared" si="6"/>
        <v>7441904.3312884802</v>
      </c>
      <c r="L29" s="186">
        <f t="shared" si="6"/>
        <v>7665161.4612271339</v>
      </c>
      <c r="M29" s="186">
        <f t="shared" si="6"/>
        <v>7895116.305063949</v>
      </c>
      <c r="N29" s="186">
        <f t="shared" si="6"/>
        <v>8131969.7942158673</v>
      </c>
      <c r="O29" s="186">
        <f>O28*97%/2</f>
        <v>4187964.4440211714</v>
      </c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</row>
    <row r="30" spans="1:128">
      <c r="A30" s="16"/>
      <c r="B30" s="32"/>
      <c r="C30" s="17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17"/>
      <c r="Q30" s="17"/>
      <c r="R30" s="17"/>
      <c r="S30" s="17"/>
      <c r="T30" s="17"/>
      <c r="U30" s="17"/>
      <c r="V30" s="17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128" s="190" customFormat="1">
      <c r="A31" s="191" t="s">
        <v>293</v>
      </c>
      <c r="B31" s="192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</row>
    <row r="32" spans="1:128" s="190" customFormat="1">
      <c r="A32" s="193" t="s">
        <v>294</v>
      </c>
      <c r="B32" s="192">
        <f>+B26</f>
        <v>14147723937.550026</v>
      </c>
      <c r="C32" s="203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</row>
    <row r="33" spans="1:128" s="190" customFormat="1">
      <c r="A33" s="193" t="s">
        <v>299</v>
      </c>
      <c r="B33" s="192">
        <f>+B28</f>
        <v>41683833.694276862</v>
      </c>
      <c r="C33" s="203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</row>
    <row r="34" spans="1:128" s="190" customFormat="1">
      <c r="A34" s="193" t="s">
        <v>300</v>
      </c>
      <c r="B34" s="192">
        <f>+B29</f>
        <v>28895099.366807692</v>
      </c>
      <c r="C34" s="16"/>
      <c r="D34" s="203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</row>
    <row r="35" spans="1:128" s="190" customFormat="1">
      <c r="A35" s="193" t="s">
        <v>301</v>
      </c>
      <c r="B35" s="192">
        <f>+B25</f>
        <v>12861567215.954569</v>
      </c>
      <c r="C35" s="203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</row>
    <row r="36" spans="1:128" s="190" customFormat="1">
      <c r="A36" s="193" t="s">
        <v>302</v>
      </c>
      <c r="B36" s="192">
        <f>+B32/B33*B34</f>
        <v>9807156702.2348881</v>
      </c>
      <c r="C36" s="203"/>
      <c r="D36" s="203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</row>
    <row r="37" spans="1:128" s="190" customFormat="1">
      <c r="A37" s="193" t="s">
        <v>303</v>
      </c>
      <c r="B37" s="192">
        <f>+B35-B36</f>
        <v>3054410513.7196808</v>
      </c>
      <c r="C37" s="203"/>
      <c r="D37" s="137"/>
      <c r="E37" s="13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</row>
    <row r="38" spans="1:128" s="190" customFormat="1">
      <c r="A38" s="193" t="s">
        <v>295</v>
      </c>
      <c r="B38" s="193">
        <f>118.15166 /76.02913</f>
        <v>1.5540314613622439</v>
      </c>
      <c r="C38" s="16"/>
      <c r="D38" s="140"/>
      <c r="E38" s="203"/>
      <c r="F38" s="203"/>
      <c r="G38" s="203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</row>
    <row r="39" spans="1:128" s="190" customFormat="1">
      <c r="A39" s="193" t="s">
        <v>304</v>
      </c>
      <c r="B39" s="193">
        <f>((12*12)+6)/12</f>
        <v>12.5</v>
      </c>
      <c r="C39" s="16"/>
      <c r="D39" s="140"/>
      <c r="E39" s="203"/>
      <c r="F39" s="203"/>
      <c r="G39" s="203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</row>
    <row r="40" spans="1:128" s="190" customFormat="1">
      <c r="A40" s="193"/>
      <c r="B40" s="194">
        <f>+B37*(1+$B$8)^(B39)*B38</f>
        <v>22707917965.115166</v>
      </c>
      <c r="C40" s="16"/>
      <c r="D40" s="16"/>
      <c r="E40" s="16"/>
      <c r="F40" s="16"/>
      <c r="G40" s="203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</row>
    <row r="41" spans="1:128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04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</row>
    <row r="42" spans="1:128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</row>
    <row r="43" spans="1:128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</row>
    <row r="45" spans="1:128" s="138" customFormat="1" ht="15.75">
      <c r="A45" s="201"/>
      <c r="B45" s="202" t="s">
        <v>208</v>
      </c>
      <c r="C45" s="201"/>
      <c r="D45" s="201"/>
      <c r="E45" s="201"/>
      <c r="F45" s="201"/>
      <c r="G45" s="201"/>
      <c r="H45" s="201"/>
      <c r="I45" s="201"/>
    </row>
    <row r="48" spans="1:128" ht="15.75" thickBot="1"/>
    <row r="49" spans="1:12">
      <c r="A49" s="381" t="s">
        <v>307</v>
      </c>
      <c r="B49" s="381" t="s">
        <v>209</v>
      </c>
      <c r="C49" s="381" t="s">
        <v>308</v>
      </c>
      <c r="D49" s="381" t="s">
        <v>309</v>
      </c>
      <c r="E49" s="381" t="s">
        <v>310</v>
      </c>
      <c r="F49" s="206" t="s">
        <v>311</v>
      </c>
    </row>
    <row r="50" spans="1:12" ht="15.75" thickBot="1">
      <c r="A50" s="382"/>
      <c r="B50" s="382"/>
      <c r="C50" s="382"/>
      <c r="D50" s="382"/>
      <c r="E50" s="382"/>
      <c r="F50" s="207" t="s">
        <v>312</v>
      </c>
    </row>
    <row r="51" spans="1:12" ht="15.75" thickBot="1">
      <c r="A51" s="208" t="s">
        <v>192</v>
      </c>
      <c r="B51" s="209" t="s">
        <v>210</v>
      </c>
      <c r="C51" s="210">
        <v>20000000000</v>
      </c>
      <c r="D51" s="212">
        <v>37956</v>
      </c>
      <c r="E51" s="213">
        <v>76.03</v>
      </c>
      <c r="F51" s="234">
        <f>C51*($B$57/E51)</f>
        <v>31079836906.484283</v>
      </c>
    </row>
    <row r="52" spans="1:12" ht="15.75" thickBot="1">
      <c r="A52" s="208" t="s">
        <v>313</v>
      </c>
      <c r="B52" s="209" t="s">
        <v>314</v>
      </c>
      <c r="C52" s="210">
        <v>15000000000</v>
      </c>
      <c r="D52" s="212">
        <v>37956</v>
      </c>
      <c r="E52" s="213">
        <v>76.03</v>
      </c>
      <c r="F52" s="234">
        <f t="shared" ref="F52:F54" si="7">C52*($B$57/E52)</f>
        <v>23309877679.863213</v>
      </c>
    </row>
    <row r="53" spans="1:12" ht="15.75" thickBot="1">
      <c r="A53" s="208" t="s">
        <v>193</v>
      </c>
      <c r="B53" s="209" t="s">
        <v>210</v>
      </c>
      <c r="C53" s="210">
        <v>8000000000</v>
      </c>
      <c r="D53" s="212">
        <v>37956</v>
      </c>
      <c r="E53" s="213">
        <v>76.03</v>
      </c>
      <c r="F53" s="234">
        <f t="shared" si="7"/>
        <v>12431934762.593712</v>
      </c>
    </row>
    <row r="54" spans="1:12" ht="15.75" thickBot="1">
      <c r="A54" s="208" t="s">
        <v>313</v>
      </c>
      <c r="B54" s="209" t="s">
        <v>210</v>
      </c>
      <c r="C54" s="210">
        <v>12000000000</v>
      </c>
      <c r="D54" s="212">
        <v>41791</v>
      </c>
      <c r="E54" s="213">
        <v>116.91</v>
      </c>
      <c r="F54" s="234">
        <f t="shared" si="7"/>
        <v>12127277392.86631</v>
      </c>
    </row>
    <row r="55" spans="1:12" ht="15.75" thickBot="1">
      <c r="A55" s="214" t="s">
        <v>315</v>
      </c>
      <c r="B55" s="215"/>
      <c r="C55" s="216">
        <f>SUM(C51:C54)</f>
        <v>55000000000</v>
      </c>
      <c r="D55" s="217"/>
      <c r="E55" s="217"/>
      <c r="F55" s="237">
        <f>SUM(F51:F54)</f>
        <v>78948926741.807526</v>
      </c>
    </row>
    <row r="56" spans="1:12" ht="15.75" thickBot="1"/>
    <row r="57" spans="1:12" ht="15.75" thickBot="1">
      <c r="A57" s="218" t="s">
        <v>316</v>
      </c>
      <c r="B57" s="219">
        <v>118.15</v>
      </c>
    </row>
    <row r="61" spans="1:12" s="138" customFormat="1" ht="15.75">
      <c r="A61" s="201"/>
      <c r="B61" s="202" t="s">
        <v>322</v>
      </c>
      <c r="C61" s="201"/>
      <c r="D61" s="201"/>
      <c r="E61" s="201"/>
      <c r="F61" s="201"/>
      <c r="G61" s="201"/>
      <c r="H61" s="201"/>
      <c r="I61" s="201"/>
    </row>
    <row r="64" spans="1:12" ht="15.75" thickBot="1">
      <c r="C64" s="230">
        <v>42887</v>
      </c>
      <c r="D64" s="230">
        <v>43252</v>
      </c>
      <c r="E64" s="230">
        <v>43617</v>
      </c>
      <c r="F64" s="230">
        <v>43983</v>
      </c>
      <c r="G64" s="230">
        <v>44348</v>
      </c>
      <c r="H64" s="230">
        <v>44713</v>
      </c>
      <c r="I64" s="230">
        <v>45078</v>
      </c>
      <c r="J64" s="230">
        <v>45444</v>
      </c>
      <c r="K64" s="230">
        <v>45809</v>
      </c>
      <c r="L64" s="230">
        <v>46174</v>
      </c>
    </row>
    <row r="65" spans="1:12" ht="15.75" thickBot="1">
      <c r="A65" s="220" t="s">
        <v>211</v>
      </c>
      <c r="B65" s="221" t="s">
        <v>317</v>
      </c>
      <c r="C65" s="221" t="s">
        <v>195</v>
      </c>
      <c r="D65" s="221" t="s">
        <v>196</v>
      </c>
      <c r="E65" s="221" t="s">
        <v>197</v>
      </c>
      <c r="F65" s="221" t="s">
        <v>198</v>
      </c>
      <c r="G65" s="221" t="s">
        <v>199</v>
      </c>
      <c r="H65" s="221" t="s">
        <v>200</v>
      </c>
      <c r="I65" s="221" t="s">
        <v>201</v>
      </c>
      <c r="J65" s="221" t="s">
        <v>202</v>
      </c>
      <c r="K65" s="221" t="s">
        <v>203</v>
      </c>
      <c r="L65" s="221" t="s">
        <v>204</v>
      </c>
    </row>
    <row r="66" spans="1:12">
      <c r="A66" s="222" t="s">
        <v>318</v>
      </c>
      <c r="B66" s="253">
        <f>SUM(C66:L66)</f>
        <v>58000000000</v>
      </c>
      <c r="C66" s="254">
        <v>0</v>
      </c>
      <c r="D66" s="253">
        <v>58000000000</v>
      </c>
      <c r="E66" s="254">
        <v>0</v>
      </c>
      <c r="F66" s="254">
        <v>0</v>
      </c>
      <c r="G66" s="254">
        <v>0</v>
      </c>
      <c r="H66" s="255">
        <v>0</v>
      </c>
      <c r="I66" s="255">
        <v>0</v>
      </c>
      <c r="J66" s="255">
        <v>0</v>
      </c>
      <c r="K66" s="255">
        <v>0</v>
      </c>
      <c r="L66" s="255">
        <v>0</v>
      </c>
    </row>
    <row r="67" spans="1:12">
      <c r="A67" s="222" t="s">
        <v>319</v>
      </c>
      <c r="B67" s="253">
        <f t="shared" ref="B67:B69" si="8">SUM(C67:L67)</f>
        <v>100000000000</v>
      </c>
      <c r="C67" s="254">
        <v>0</v>
      </c>
      <c r="D67" s="254">
        <v>0</v>
      </c>
      <c r="E67" s="253">
        <v>100000000000</v>
      </c>
      <c r="F67" s="254">
        <v>0</v>
      </c>
      <c r="G67" s="254">
        <v>0</v>
      </c>
      <c r="H67" s="255">
        <v>0</v>
      </c>
      <c r="I67" s="255">
        <v>0</v>
      </c>
      <c r="J67" s="255">
        <v>0</v>
      </c>
      <c r="K67" s="255">
        <v>0</v>
      </c>
      <c r="L67" s="255">
        <v>0</v>
      </c>
    </row>
    <row r="68" spans="1:12">
      <c r="A68" s="222" t="s">
        <v>320</v>
      </c>
      <c r="B68" s="253">
        <f t="shared" si="8"/>
        <v>2500000000</v>
      </c>
      <c r="C68" s="254">
        <v>0</v>
      </c>
      <c r="D68" s="254">
        <v>0</v>
      </c>
      <c r="E68" s="254">
        <v>0</v>
      </c>
      <c r="F68" s="254">
        <v>0</v>
      </c>
      <c r="G68" s="253">
        <v>2500000000</v>
      </c>
      <c r="H68" s="255">
        <v>0</v>
      </c>
      <c r="I68" s="255">
        <v>0</v>
      </c>
      <c r="J68" s="255">
        <v>0</v>
      </c>
      <c r="K68" s="255">
        <v>0</v>
      </c>
      <c r="L68" s="255">
        <v>0</v>
      </c>
    </row>
    <row r="69" spans="1:12" ht="15.75" thickBot="1">
      <c r="A69" s="222" t="s">
        <v>321</v>
      </c>
      <c r="B69" s="253">
        <f t="shared" si="8"/>
        <v>10000000000</v>
      </c>
      <c r="C69" s="254">
        <v>0</v>
      </c>
      <c r="D69" s="235">
        <v>0</v>
      </c>
      <c r="E69" s="235">
        <v>0</v>
      </c>
      <c r="F69" s="235">
        <v>0</v>
      </c>
      <c r="G69" s="234">
        <v>10000000000</v>
      </c>
      <c r="H69" s="255">
        <v>0</v>
      </c>
      <c r="I69" s="255">
        <v>0</v>
      </c>
      <c r="J69" s="255">
        <v>0</v>
      </c>
      <c r="K69" s="255">
        <v>0</v>
      </c>
      <c r="L69" s="255">
        <v>0</v>
      </c>
    </row>
    <row r="70" spans="1:12" ht="15.75" thickBot="1">
      <c r="A70" s="223" t="s">
        <v>212</v>
      </c>
      <c r="B70" s="256">
        <f>SUM(B66:B69)</f>
        <v>170500000000</v>
      </c>
      <c r="C70" s="256">
        <f>SUM(C66:C69)</f>
        <v>0</v>
      </c>
      <c r="D70" s="256">
        <f t="shared" ref="D70:L70" si="9">SUM(D66:D69)</f>
        <v>58000000000</v>
      </c>
      <c r="E70" s="256">
        <f t="shared" si="9"/>
        <v>100000000000</v>
      </c>
      <c r="F70" s="256">
        <f t="shared" si="9"/>
        <v>0</v>
      </c>
      <c r="G70" s="256">
        <f t="shared" si="9"/>
        <v>12500000000</v>
      </c>
      <c r="H70" s="256">
        <f t="shared" si="9"/>
        <v>0</v>
      </c>
      <c r="I70" s="257">
        <f t="shared" si="9"/>
        <v>0</v>
      </c>
      <c r="J70" s="257">
        <f t="shared" si="9"/>
        <v>0</v>
      </c>
      <c r="K70" s="257">
        <f t="shared" si="9"/>
        <v>0</v>
      </c>
      <c r="L70" s="257">
        <f t="shared" si="9"/>
        <v>0</v>
      </c>
    </row>
    <row r="74" spans="1:12" s="138" customFormat="1" ht="15.75">
      <c r="A74" s="201"/>
      <c r="B74" s="202" t="s">
        <v>327</v>
      </c>
      <c r="C74" s="201"/>
      <c r="D74" s="201"/>
      <c r="E74" s="201"/>
      <c r="F74" s="201"/>
      <c r="G74" s="201"/>
      <c r="H74" s="201"/>
      <c r="I74" s="201"/>
    </row>
    <row r="77" spans="1:12" ht="15.75" thickBot="1">
      <c r="E77" s="211"/>
    </row>
    <row r="78" spans="1:12">
      <c r="A78" s="371" t="s">
        <v>206</v>
      </c>
      <c r="B78" s="371" t="s">
        <v>191</v>
      </c>
      <c r="C78" s="377"/>
      <c r="D78" s="371" t="s">
        <v>323</v>
      </c>
      <c r="E78" s="371" t="s">
        <v>324</v>
      </c>
      <c r="F78" s="371" t="s">
        <v>325</v>
      </c>
      <c r="G78" s="379"/>
      <c r="H78" s="369" t="s">
        <v>326</v>
      </c>
    </row>
    <row r="79" spans="1:12">
      <c r="A79" s="372"/>
      <c r="B79" s="372"/>
      <c r="C79" s="378"/>
      <c r="D79" s="372"/>
      <c r="E79" s="372"/>
      <c r="F79" s="372"/>
      <c r="G79" s="380"/>
      <c r="H79" s="370"/>
    </row>
    <row r="80" spans="1:12">
      <c r="A80" s="225" t="s">
        <v>207</v>
      </c>
      <c r="B80" s="225" t="s">
        <v>213</v>
      </c>
      <c r="C80" s="258">
        <f>+O19</f>
        <v>8567673464.0315189</v>
      </c>
      <c r="D80" s="259">
        <v>33</v>
      </c>
      <c r="E80" s="260">
        <v>38322</v>
      </c>
      <c r="F80" s="259">
        <v>11.5</v>
      </c>
      <c r="G80" s="259">
        <f>D80-F80</f>
        <v>21.5</v>
      </c>
      <c r="H80" s="258">
        <f>C80/G80</f>
        <v>398496440.18751252</v>
      </c>
    </row>
    <row r="81" spans="1:8">
      <c r="A81" s="225" t="s">
        <v>207</v>
      </c>
      <c r="B81" s="225" t="s">
        <v>214</v>
      </c>
      <c r="C81" s="258">
        <f t="shared" ref="C81:C85" si="10">+O20</f>
        <v>1157882124.6935689</v>
      </c>
      <c r="D81" s="259">
        <v>45</v>
      </c>
      <c r="E81" s="260">
        <v>38322</v>
      </c>
      <c r="F81" s="259">
        <v>11.5</v>
      </c>
      <c r="G81" s="259">
        <f>D81-F81</f>
        <v>33.5</v>
      </c>
      <c r="H81" s="258">
        <f t="shared" ref="H81:H93" si="11">C81/G81</f>
        <v>34563645.513240866</v>
      </c>
    </row>
    <row r="82" spans="1:8">
      <c r="A82" s="225" t="s">
        <v>207</v>
      </c>
      <c r="B82" s="225" t="s">
        <v>215</v>
      </c>
      <c r="C82" s="258">
        <f t="shared" si="10"/>
        <v>1701072622.3131671</v>
      </c>
      <c r="D82" s="259">
        <v>40</v>
      </c>
      <c r="E82" s="260">
        <v>38322</v>
      </c>
      <c r="F82" s="259">
        <v>11.5</v>
      </c>
      <c r="G82" s="259">
        <f t="shared" ref="G82:G93" si="12">D82-F82</f>
        <v>28.5</v>
      </c>
      <c r="H82" s="258">
        <f t="shared" si="11"/>
        <v>59686758.677654989</v>
      </c>
    </row>
    <row r="83" spans="1:8">
      <c r="A83" s="225" t="s">
        <v>207</v>
      </c>
      <c r="B83" s="225" t="s">
        <v>216</v>
      </c>
      <c r="C83" s="258">
        <f t="shared" si="10"/>
        <v>7005104209.6148138</v>
      </c>
      <c r="D83" s="259">
        <v>25</v>
      </c>
      <c r="E83" s="260">
        <v>38687</v>
      </c>
      <c r="F83" s="259">
        <v>10.5</v>
      </c>
      <c r="G83" s="259">
        <f t="shared" si="12"/>
        <v>14.5</v>
      </c>
      <c r="H83" s="258">
        <f t="shared" si="11"/>
        <v>483110635.14584923</v>
      </c>
    </row>
    <row r="84" spans="1:8">
      <c r="A84" s="225" t="s">
        <v>207</v>
      </c>
      <c r="B84" s="225" t="s">
        <v>217</v>
      </c>
      <c r="C84" s="258">
        <f t="shared" si="10"/>
        <v>1189241278.8484204</v>
      </c>
      <c r="D84" s="259">
        <v>45</v>
      </c>
      <c r="E84" s="260">
        <v>38412</v>
      </c>
      <c r="F84" s="259">
        <v>10.3</v>
      </c>
      <c r="G84" s="259">
        <f t="shared" si="12"/>
        <v>34.700000000000003</v>
      </c>
      <c r="H84" s="258">
        <f t="shared" si="11"/>
        <v>34272082.963931419</v>
      </c>
    </row>
    <row r="85" spans="1:8">
      <c r="A85" s="225" t="s">
        <v>207</v>
      </c>
      <c r="B85" s="225" t="s">
        <v>218</v>
      </c>
      <c r="C85" s="258">
        <f t="shared" si="10"/>
        <v>3086944265.6136732</v>
      </c>
      <c r="D85" s="259">
        <v>45</v>
      </c>
      <c r="E85" s="260">
        <v>38687</v>
      </c>
      <c r="F85" s="259">
        <v>10.5</v>
      </c>
      <c r="G85" s="259">
        <f t="shared" si="12"/>
        <v>34.5</v>
      </c>
      <c r="H85" s="258">
        <f t="shared" si="11"/>
        <v>89476645.380106464</v>
      </c>
    </row>
    <row r="86" spans="1:8">
      <c r="A86" s="225" t="s">
        <v>328</v>
      </c>
      <c r="B86" s="226" t="s">
        <v>192</v>
      </c>
      <c r="C86" s="261">
        <f>+F51</f>
        <v>31079836906.484283</v>
      </c>
      <c r="D86" s="259">
        <v>40</v>
      </c>
      <c r="E86" s="260">
        <v>37591</v>
      </c>
      <c r="F86" s="259">
        <v>13.5</v>
      </c>
      <c r="G86" s="259">
        <f t="shared" si="12"/>
        <v>26.5</v>
      </c>
      <c r="H86" s="258">
        <f t="shared" si="11"/>
        <v>1172824034.206954</v>
      </c>
    </row>
    <row r="87" spans="1:8">
      <c r="A87" s="225" t="s">
        <v>328</v>
      </c>
      <c r="B87" s="226" t="s">
        <v>313</v>
      </c>
      <c r="C87" s="261">
        <f t="shared" ref="C87:C89" si="13">+F52</f>
        <v>23309877679.863213</v>
      </c>
      <c r="D87" s="259">
        <v>45</v>
      </c>
      <c r="E87" s="260">
        <v>37591</v>
      </c>
      <c r="F87" s="259">
        <v>13.5</v>
      </c>
      <c r="G87" s="259">
        <f t="shared" si="12"/>
        <v>31.5</v>
      </c>
      <c r="H87" s="258">
        <f t="shared" si="11"/>
        <v>739996116.82105434</v>
      </c>
    </row>
    <row r="88" spans="1:8">
      <c r="A88" s="225" t="s">
        <v>328</v>
      </c>
      <c r="B88" s="226" t="s">
        <v>193</v>
      </c>
      <c r="C88" s="261">
        <f t="shared" si="13"/>
        <v>12431934762.593712</v>
      </c>
      <c r="D88" s="259">
        <v>0</v>
      </c>
      <c r="E88" s="260"/>
      <c r="F88" s="259">
        <v>0</v>
      </c>
      <c r="G88" s="259">
        <v>0</v>
      </c>
      <c r="H88" s="258">
        <v>0</v>
      </c>
    </row>
    <row r="89" spans="1:8">
      <c r="A89" s="225" t="s">
        <v>328</v>
      </c>
      <c r="B89" s="226" t="s">
        <v>313</v>
      </c>
      <c r="C89" s="261">
        <f t="shared" si="13"/>
        <v>12127277392.86631</v>
      </c>
      <c r="D89" s="259">
        <v>45</v>
      </c>
      <c r="E89" s="260">
        <v>41974</v>
      </c>
      <c r="F89" s="259">
        <v>1.5</v>
      </c>
      <c r="G89" s="259">
        <f t="shared" si="12"/>
        <v>43.5</v>
      </c>
      <c r="H89" s="258">
        <f t="shared" si="11"/>
        <v>278787986.04290366</v>
      </c>
    </row>
    <row r="90" spans="1:8">
      <c r="A90" s="225" t="s">
        <v>329</v>
      </c>
      <c r="B90" s="226" t="s">
        <v>318</v>
      </c>
      <c r="C90" s="261">
        <f>+B66</f>
        <v>58000000000</v>
      </c>
      <c r="D90" s="259">
        <v>40</v>
      </c>
      <c r="E90" s="260">
        <v>43070</v>
      </c>
      <c r="F90" s="259">
        <v>0</v>
      </c>
      <c r="G90" s="259">
        <f t="shared" si="12"/>
        <v>40</v>
      </c>
      <c r="H90" s="258">
        <f t="shared" si="11"/>
        <v>1450000000</v>
      </c>
    </row>
    <row r="91" spans="1:8">
      <c r="A91" s="225" t="s">
        <v>329</v>
      </c>
      <c r="B91" s="226" t="s">
        <v>319</v>
      </c>
      <c r="C91" s="261">
        <f t="shared" ref="C91:C93" si="14">+B67</f>
        <v>100000000000</v>
      </c>
      <c r="D91" s="259">
        <v>45</v>
      </c>
      <c r="E91" s="260">
        <v>43435</v>
      </c>
      <c r="F91" s="259">
        <v>0</v>
      </c>
      <c r="G91" s="259">
        <f t="shared" si="12"/>
        <v>45</v>
      </c>
      <c r="H91" s="258">
        <f t="shared" si="11"/>
        <v>2222222222.2222223</v>
      </c>
    </row>
    <row r="92" spans="1:8">
      <c r="A92" s="225" t="s">
        <v>329</v>
      </c>
      <c r="B92" s="226" t="s">
        <v>320</v>
      </c>
      <c r="C92" s="261">
        <f t="shared" si="14"/>
        <v>2500000000</v>
      </c>
      <c r="D92" s="259">
        <v>45</v>
      </c>
      <c r="E92" s="260">
        <v>44166</v>
      </c>
      <c r="F92" s="259">
        <v>0</v>
      </c>
      <c r="G92" s="259">
        <f t="shared" si="12"/>
        <v>45</v>
      </c>
      <c r="H92" s="258">
        <f t="shared" si="11"/>
        <v>55555555.555555552</v>
      </c>
    </row>
    <row r="93" spans="1:8">
      <c r="A93" s="225" t="s">
        <v>329</v>
      </c>
      <c r="B93" s="226" t="s">
        <v>321</v>
      </c>
      <c r="C93" s="261">
        <f t="shared" si="14"/>
        <v>10000000000</v>
      </c>
      <c r="D93" s="259">
        <v>45</v>
      </c>
      <c r="E93" s="260">
        <v>44166</v>
      </c>
      <c r="F93" s="259">
        <v>0</v>
      </c>
      <c r="G93" s="259">
        <f t="shared" si="12"/>
        <v>45</v>
      </c>
      <c r="H93" s="258">
        <f t="shared" si="11"/>
        <v>222222222.22222221</v>
      </c>
    </row>
    <row r="95" spans="1:8" ht="15.75" thickBot="1"/>
    <row r="96" spans="1:8" ht="15.75" thickBot="1">
      <c r="A96" s="227" t="s">
        <v>372</v>
      </c>
    </row>
    <row r="98" spans="1:11" ht="15.75" thickBot="1">
      <c r="B98" s="230">
        <v>42887</v>
      </c>
      <c r="C98" s="230">
        <v>43252</v>
      </c>
      <c r="D98" s="230">
        <v>43617</v>
      </c>
      <c r="E98" s="230">
        <v>43983</v>
      </c>
      <c r="F98" s="230">
        <v>44348</v>
      </c>
      <c r="G98" s="230">
        <v>44713</v>
      </c>
      <c r="H98" s="230">
        <v>45078</v>
      </c>
      <c r="I98" s="230">
        <v>45444</v>
      </c>
      <c r="J98" s="230">
        <v>45809</v>
      </c>
      <c r="K98" s="230">
        <v>46174</v>
      </c>
    </row>
    <row r="99" spans="1:11" ht="15.75" thickBot="1">
      <c r="A99" s="227" t="s">
        <v>191</v>
      </c>
      <c r="B99" s="228" t="s">
        <v>219</v>
      </c>
      <c r="C99" s="228" t="s">
        <v>220</v>
      </c>
      <c r="D99" s="228" t="s">
        <v>221</v>
      </c>
      <c r="E99" s="228" t="s">
        <v>222</v>
      </c>
      <c r="F99" s="228" t="s">
        <v>223</v>
      </c>
      <c r="G99" s="228" t="s">
        <v>224</v>
      </c>
      <c r="H99" s="228" t="s">
        <v>225</v>
      </c>
      <c r="I99" s="228" t="s">
        <v>226</v>
      </c>
      <c r="J99" s="228" t="s">
        <v>227</v>
      </c>
      <c r="K99" s="228" t="s">
        <v>228</v>
      </c>
    </row>
    <row r="100" spans="1:11" ht="15.75" thickBot="1">
      <c r="A100" s="225" t="s">
        <v>213</v>
      </c>
      <c r="B100" s="234">
        <f t="shared" ref="B100:B107" si="15">+H80</f>
        <v>398496440.18751252</v>
      </c>
      <c r="C100" s="234">
        <f t="shared" ref="C100:C108" si="16">+B100</f>
        <v>398496440.18751252</v>
      </c>
      <c r="D100" s="234">
        <f t="shared" ref="D100:K112" si="17">+C100</f>
        <v>398496440.18751252</v>
      </c>
      <c r="E100" s="234">
        <f t="shared" si="17"/>
        <v>398496440.18751252</v>
      </c>
      <c r="F100" s="234">
        <f t="shared" si="17"/>
        <v>398496440.18751252</v>
      </c>
      <c r="G100" s="234">
        <f t="shared" si="17"/>
        <v>398496440.18751252</v>
      </c>
      <c r="H100" s="234">
        <f t="shared" si="17"/>
        <v>398496440.18751252</v>
      </c>
      <c r="I100" s="234">
        <f t="shared" si="17"/>
        <v>398496440.18751252</v>
      </c>
      <c r="J100" s="234">
        <f t="shared" si="17"/>
        <v>398496440.18751252</v>
      </c>
      <c r="K100" s="234">
        <f t="shared" si="17"/>
        <v>398496440.18751252</v>
      </c>
    </row>
    <row r="101" spans="1:11" ht="15.75" thickBot="1">
      <c r="A101" s="225" t="s">
        <v>214</v>
      </c>
      <c r="B101" s="262">
        <f t="shared" si="15"/>
        <v>34563645.513240866</v>
      </c>
      <c r="C101" s="262">
        <f t="shared" si="16"/>
        <v>34563645.513240866</v>
      </c>
      <c r="D101" s="262">
        <f t="shared" si="17"/>
        <v>34563645.513240866</v>
      </c>
      <c r="E101" s="262">
        <f t="shared" si="17"/>
        <v>34563645.513240866</v>
      </c>
      <c r="F101" s="262">
        <f t="shared" si="17"/>
        <v>34563645.513240866</v>
      </c>
      <c r="G101" s="262">
        <f t="shared" si="17"/>
        <v>34563645.513240866</v>
      </c>
      <c r="H101" s="262">
        <f t="shared" si="17"/>
        <v>34563645.513240866</v>
      </c>
      <c r="I101" s="262">
        <f t="shared" si="17"/>
        <v>34563645.513240866</v>
      </c>
      <c r="J101" s="262">
        <f t="shared" si="17"/>
        <v>34563645.513240866</v>
      </c>
      <c r="K101" s="262">
        <f t="shared" si="17"/>
        <v>34563645.513240866</v>
      </c>
    </row>
    <row r="102" spans="1:11" ht="15.75" thickBot="1">
      <c r="A102" s="225" t="s">
        <v>215</v>
      </c>
      <c r="B102" s="262">
        <f t="shared" si="15"/>
        <v>59686758.677654989</v>
      </c>
      <c r="C102" s="262">
        <f t="shared" si="16"/>
        <v>59686758.677654989</v>
      </c>
      <c r="D102" s="262">
        <f t="shared" si="17"/>
        <v>59686758.677654989</v>
      </c>
      <c r="E102" s="262">
        <f t="shared" si="17"/>
        <v>59686758.677654989</v>
      </c>
      <c r="F102" s="262">
        <f t="shared" si="17"/>
        <v>59686758.677654989</v>
      </c>
      <c r="G102" s="262">
        <f t="shared" si="17"/>
        <v>59686758.677654989</v>
      </c>
      <c r="H102" s="262">
        <f t="shared" si="17"/>
        <v>59686758.677654989</v>
      </c>
      <c r="I102" s="262">
        <f t="shared" si="17"/>
        <v>59686758.677654989</v>
      </c>
      <c r="J102" s="262">
        <f t="shared" si="17"/>
        <v>59686758.677654989</v>
      </c>
      <c r="K102" s="262">
        <f t="shared" si="17"/>
        <v>59686758.677654989</v>
      </c>
    </row>
    <row r="103" spans="1:11" ht="15.75" thickBot="1">
      <c r="A103" s="225" t="s">
        <v>216</v>
      </c>
      <c r="B103" s="262">
        <f t="shared" si="15"/>
        <v>483110635.14584923</v>
      </c>
      <c r="C103" s="262">
        <f t="shared" si="16"/>
        <v>483110635.14584923</v>
      </c>
      <c r="D103" s="262">
        <f t="shared" si="17"/>
        <v>483110635.14584923</v>
      </c>
      <c r="E103" s="262">
        <f t="shared" si="17"/>
        <v>483110635.14584923</v>
      </c>
      <c r="F103" s="262">
        <f t="shared" si="17"/>
        <v>483110635.14584923</v>
      </c>
      <c r="G103" s="262">
        <f t="shared" si="17"/>
        <v>483110635.14584923</v>
      </c>
      <c r="H103" s="262">
        <f t="shared" si="17"/>
        <v>483110635.14584923</v>
      </c>
      <c r="I103" s="262">
        <f t="shared" si="17"/>
        <v>483110635.14584923</v>
      </c>
      <c r="J103" s="262">
        <f t="shared" si="17"/>
        <v>483110635.14584923</v>
      </c>
      <c r="K103" s="262">
        <f t="shared" si="17"/>
        <v>483110635.14584923</v>
      </c>
    </row>
    <row r="104" spans="1:11" ht="15.75" thickBot="1">
      <c r="A104" s="225" t="s">
        <v>217</v>
      </c>
      <c r="B104" s="262">
        <f t="shared" si="15"/>
        <v>34272082.963931419</v>
      </c>
      <c r="C104" s="262">
        <f t="shared" si="16"/>
        <v>34272082.963931419</v>
      </c>
      <c r="D104" s="262">
        <f t="shared" si="17"/>
        <v>34272082.963931419</v>
      </c>
      <c r="E104" s="262">
        <f t="shared" si="17"/>
        <v>34272082.963931419</v>
      </c>
      <c r="F104" s="262">
        <f t="shared" si="17"/>
        <v>34272082.963931419</v>
      </c>
      <c r="G104" s="262">
        <f t="shared" si="17"/>
        <v>34272082.963931419</v>
      </c>
      <c r="H104" s="262">
        <f t="shared" si="17"/>
        <v>34272082.963931419</v>
      </c>
      <c r="I104" s="262">
        <f t="shared" si="17"/>
        <v>34272082.963931419</v>
      </c>
      <c r="J104" s="262">
        <f t="shared" si="17"/>
        <v>34272082.963931419</v>
      </c>
      <c r="K104" s="262">
        <f t="shared" si="17"/>
        <v>34272082.963931419</v>
      </c>
    </row>
    <row r="105" spans="1:11" ht="15.75" thickBot="1">
      <c r="A105" s="225" t="s">
        <v>218</v>
      </c>
      <c r="B105" s="262">
        <f t="shared" si="15"/>
        <v>89476645.380106464</v>
      </c>
      <c r="C105" s="262">
        <f t="shared" si="16"/>
        <v>89476645.380106464</v>
      </c>
      <c r="D105" s="262">
        <f t="shared" si="17"/>
        <v>89476645.380106464</v>
      </c>
      <c r="E105" s="262">
        <f t="shared" si="17"/>
        <v>89476645.380106464</v>
      </c>
      <c r="F105" s="262">
        <f t="shared" si="17"/>
        <v>89476645.380106464</v>
      </c>
      <c r="G105" s="262">
        <f t="shared" si="17"/>
        <v>89476645.380106464</v>
      </c>
      <c r="H105" s="262">
        <f t="shared" si="17"/>
        <v>89476645.380106464</v>
      </c>
      <c r="I105" s="262">
        <f t="shared" si="17"/>
        <v>89476645.380106464</v>
      </c>
      <c r="J105" s="262">
        <f t="shared" si="17"/>
        <v>89476645.380106464</v>
      </c>
      <c r="K105" s="262">
        <f t="shared" si="17"/>
        <v>89476645.380106464</v>
      </c>
    </row>
    <row r="106" spans="1:11" ht="15.75" thickBot="1">
      <c r="A106" s="226" t="s">
        <v>192</v>
      </c>
      <c r="B106" s="262">
        <f t="shared" si="15"/>
        <v>1172824034.206954</v>
      </c>
      <c r="C106" s="262">
        <f t="shared" si="16"/>
        <v>1172824034.206954</v>
      </c>
      <c r="D106" s="262">
        <f t="shared" si="17"/>
        <v>1172824034.206954</v>
      </c>
      <c r="E106" s="262">
        <f t="shared" si="17"/>
        <v>1172824034.206954</v>
      </c>
      <c r="F106" s="262">
        <f t="shared" si="17"/>
        <v>1172824034.206954</v>
      </c>
      <c r="G106" s="262">
        <f t="shared" si="17"/>
        <v>1172824034.206954</v>
      </c>
      <c r="H106" s="262">
        <f t="shared" si="17"/>
        <v>1172824034.206954</v>
      </c>
      <c r="I106" s="262">
        <f t="shared" si="17"/>
        <v>1172824034.206954</v>
      </c>
      <c r="J106" s="262">
        <f t="shared" si="17"/>
        <v>1172824034.206954</v>
      </c>
      <c r="K106" s="262">
        <f t="shared" si="17"/>
        <v>1172824034.206954</v>
      </c>
    </row>
    <row r="107" spans="1:11" ht="15.75" thickBot="1">
      <c r="A107" s="226" t="s">
        <v>313</v>
      </c>
      <c r="B107" s="234">
        <f t="shared" si="15"/>
        <v>739996116.82105434</v>
      </c>
      <c r="C107" s="234">
        <f t="shared" si="16"/>
        <v>739996116.82105434</v>
      </c>
      <c r="D107" s="234">
        <f t="shared" si="17"/>
        <v>739996116.82105434</v>
      </c>
      <c r="E107" s="234">
        <f t="shared" si="17"/>
        <v>739996116.82105434</v>
      </c>
      <c r="F107" s="234">
        <f t="shared" si="17"/>
        <v>739996116.82105434</v>
      </c>
      <c r="G107" s="234">
        <f t="shared" si="17"/>
        <v>739996116.82105434</v>
      </c>
      <c r="H107" s="234">
        <f t="shared" si="17"/>
        <v>739996116.82105434</v>
      </c>
      <c r="I107" s="234">
        <f t="shared" si="17"/>
        <v>739996116.82105434</v>
      </c>
      <c r="J107" s="234">
        <f t="shared" si="17"/>
        <v>739996116.82105434</v>
      </c>
      <c r="K107" s="234">
        <f t="shared" si="17"/>
        <v>739996116.82105434</v>
      </c>
    </row>
    <row r="108" spans="1:11" ht="15.75" thickBot="1">
      <c r="A108" s="226" t="s">
        <v>313</v>
      </c>
      <c r="B108" s="234">
        <f>+H89</f>
        <v>278787986.04290366</v>
      </c>
      <c r="C108" s="234">
        <f t="shared" si="16"/>
        <v>278787986.04290366</v>
      </c>
      <c r="D108" s="234">
        <f t="shared" si="17"/>
        <v>278787986.04290366</v>
      </c>
      <c r="E108" s="234">
        <f t="shared" si="17"/>
        <v>278787986.04290366</v>
      </c>
      <c r="F108" s="234">
        <f t="shared" si="17"/>
        <v>278787986.04290366</v>
      </c>
      <c r="G108" s="234">
        <f t="shared" si="17"/>
        <v>278787986.04290366</v>
      </c>
      <c r="H108" s="234">
        <f t="shared" si="17"/>
        <v>278787986.04290366</v>
      </c>
      <c r="I108" s="234">
        <f t="shared" si="17"/>
        <v>278787986.04290366</v>
      </c>
      <c r="J108" s="234">
        <f t="shared" si="17"/>
        <v>278787986.04290366</v>
      </c>
      <c r="K108" s="234">
        <f t="shared" si="17"/>
        <v>278787986.04290366</v>
      </c>
    </row>
    <row r="109" spans="1:11" ht="15.75" thickBot="1">
      <c r="A109" s="226" t="s">
        <v>318</v>
      </c>
      <c r="B109" s="262"/>
      <c r="C109" s="262"/>
      <c r="D109" s="262">
        <f>+H90</f>
        <v>1450000000</v>
      </c>
      <c r="E109" s="262">
        <f t="shared" si="17"/>
        <v>1450000000</v>
      </c>
      <c r="F109" s="262">
        <f t="shared" si="17"/>
        <v>1450000000</v>
      </c>
      <c r="G109" s="262">
        <f t="shared" si="17"/>
        <v>1450000000</v>
      </c>
      <c r="H109" s="262">
        <f t="shared" si="17"/>
        <v>1450000000</v>
      </c>
      <c r="I109" s="262">
        <f t="shared" si="17"/>
        <v>1450000000</v>
      </c>
      <c r="J109" s="262">
        <f t="shared" si="17"/>
        <v>1450000000</v>
      </c>
      <c r="K109" s="262">
        <f t="shared" si="17"/>
        <v>1450000000</v>
      </c>
    </row>
    <row r="110" spans="1:11" ht="15.75" thickBot="1">
      <c r="A110" s="226" t="s">
        <v>319</v>
      </c>
      <c r="B110" s="262"/>
      <c r="C110" s="262"/>
      <c r="D110" s="262"/>
      <c r="E110" s="262">
        <f>+H91</f>
        <v>2222222222.2222223</v>
      </c>
      <c r="F110" s="262">
        <f t="shared" si="17"/>
        <v>2222222222.2222223</v>
      </c>
      <c r="G110" s="262">
        <f t="shared" si="17"/>
        <v>2222222222.2222223</v>
      </c>
      <c r="H110" s="262">
        <f t="shared" si="17"/>
        <v>2222222222.2222223</v>
      </c>
      <c r="I110" s="262">
        <f t="shared" si="17"/>
        <v>2222222222.2222223</v>
      </c>
      <c r="J110" s="262">
        <f t="shared" si="17"/>
        <v>2222222222.2222223</v>
      </c>
      <c r="K110" s="262">
        <f t="shared" si="17"/>
        <v>2222222222.2222223</v>
      </c>
    </row>
    <row r="111" spans="1:11" ht="15.75" thickBot="1">
      <c r="A111" s="226" t="s">
        <v>320</v>
      </c>
      <c r="B111" s="262"/>
      <c r="C111" s="262"/>
      <c r="D111" s="262"/>
      <c r="E111" s="262"/>
      <c r="F111" s="262"/>
      <c r="G111" s="262">
        <f>+H92</f>
        <v>55555555.555555552</v>
      </c>
      <c r="H111" s="262">
        <f t="shared" si="17"/>
        <v>55555555.555555552</v>
      </c>
      <c r="I111" s="262">
        <f t="shared" si="17"/>
        <v>55555555.555555552</v>
      </c>
      <c r="J111" s="262">
        <f t="shared" si="17"/>
        <v>55555555.555555552</v>
      </c>
      <c r="K111" s="262">
        <f t="shared" si="17"/>
        <v>55555555.555555552</v>
      </c>
    </row>
    <row r="112" spans="1:11" ht="15.75" thickBot="1">
      <c r="A112" s="226" t="s">
        <v>321</v>
      </c>
      <c r="B112" s="262"/>
      <c r="C112" s="234"/>
      <c r="D112" s="234"/>
      <c r="E112" s="234"/>
      <c r="F112" s="234"/>
      <c r="G112" s="234">
        <f>+H93</f>
        <v>222222222.22222221</v>
      </c>
      <c r="H112" s="234">
        <f t="shared" si="17"/>
        <v>222222222.22222221</v>
      </c>
      <c r="I112" s="234">
        <f t="shared" si="17"/>
        <v>222222222.22222221</v>
      </c>
      <c r="J112" s="234">
        <f t="shared" si="17"/>
        <v>222222222.22222221</v>
      </c>
      <c r="K112" s="234">
        <f t="shared" si="17"/>
        <v>222222222.22222221</v>
      </c>
    </row>
    <row r="113" spans="1:11" ht="15.75" thickBot="1">
      <c r="A113" s="229" t="s">
        <v>330</v>
      </c>
      <c r="B113" s="263">
        <f>SUM(B100:B112)</f>
        <v>3291214344.939208</v>
      </c>
      <c r="C113" s="263">
        <f t="shared" ref="C113:K113" si="18">SUM(C100:C112)</f>
        <v>3291214344.939208</v>
      </c>
      <c r="D113" s="263">
        <f t="shared" si="18"/>
        <v>4741214344.939208</v>
      </c>
      <c r="E113" s="263">
        <f t="shared" si="18"/>
        <v>6963436567.1614304</v>
      </c>
      <c r="F113" s="263">
        <f t="shared" si="18"/>
        <v>6963436567.1614304</v>
      </c>
      <c r="G113" s="263">
        <f t="shared" si="18"/>
        <v>7241214344.939208</v>
      </c>
      <c r="H113" s="263">
        <f t="shared" si="18"/>
        <v>7241214344.939208</v>
      </c>
      <c r="I113" s="263">
        <f t="shared" si="18"/>
        <v>7241214344.939208</v>
      </c>
      <c r="J113" s="263">
        <f t="shared" si="18"/>
        <v>7241214344.939208</v>
      </c>
      <c r="K113" s="263">
        <f t="shared" si="18"/>
        <v>7241214344.939208</v>
      </c>
    </row>
    <row r="115" spans="1:11" ht="15.75" thickBot="1"/>
    <row r="116" spans="1:11" ht="15.75" thickBot="1">
      <c r="A116" s="227" t="s">
        <v>373</v>
      </c>
    </row>
    <row r="119" spans="1:11" ht="15.75" thickBot="1">
      <c r="A119" s="224"/>
      <c r="B119" s="230">
        <v>42887</v>
      </c>
      <c r="C119" s="230">
        <v>43252</v>
      </c>
      <c r="D119" s="230">
        <v>43617</v>
      </c>
      <c r="E119" s="230">
        <v>43983</v>
      </c>
      <c r="F119" s="230">
        <v>44348</v>
      </c>
      <c r="G119" s="230">
        <v>44713</v>
      </c>
      <c r="H119" s="230">
        <v>45078</v>
      </c>
      <c r="I119" s="230">
        <v>45444</v>
      </c>
      <c r="J119" s="230">
        <v>45809</v>
      </c>
      <c r="K119" s="230">
        <v>46174</v>
      </c>
    </row>
    <row r="120" spans="1:11" ht="15.75" thickBot="1">
      <c r="A120" s="227" t="s">
        <v>191</v>
      </c>
      <c r="B120" s="228" t="s">
        <v>229</v>
      </c>
      <c r="C120" s="228" t="s">
        <v>230</v>
      </c>
      <c r="D120" s="228" t="s">
        <v>231</v>
      </c>
      <c r="E120" s="228" t="s">
        <v>232</v>
      </c>
      <c r="F120" s="228" t="s">
        <v>233</v>
      </c>
      <c r="G120" s="228" t="s">
        <v>234</v>
      </c>
      <c r="H120" s="228" t="s">
        <v>235</v>
      </c>
      <c r="I120" s="228" t="s">
        <v>236</v>
      </c>
      <c r="J120" s="228" t="s">
        <v>237</v>
      </c>
      <c r="K120" s="228" t="s">
        <v>238</v>
      </c>
    </row>
    <row r="121" spans="1:11" ht="15.75" thickBot="1">
      <c r="A121" s="225" t="s">
        <v>213</v>
      </c>
      <c r="B121" s="234">
        <f>+B100</f>
        <v>398496440.18751252</v>
      </c>
      <c r="C121" s="234">
        <f>B121+C100</f>
        <v>796992880.37502503</v>
      </c>
      <c r="D121" s="234">
        <f t="shared" ref="D121:K121" si="19">C121+D100</f>
        <v>1195489320.5625377</v>
      </c>
      <c r="E121" s="234">
        <f t="shared" si="19"/>
        <v>1593985760.7500501</v>
      </c>
      <c r="F121" s="234">
        <f t="shared" si="19"/>
        <v>1992482200.9375625</v>
      </c>
      <c r="G121" s="234">
        <f t="shared" si="19"/>
        <v>2390978641.1250749</v>
      </c>
      <c r="H121" s="234">
        <f t="shared" si="19"/>
        <v>2789475081.3125873</v>
      </c>
      <c r="I121" s="234">
        <f t="shared" si="19"/>
        <v>3187971521.5000997</v>
      </c>
      <c r="J121" s="234">
        <f t="shared" si="19"/>
        <v>3586467961.6876121</v>
      </c>
      <c r="K121" s="234">
        <f t="shared" si="19"/>
        <v>3984964401.8751245</v>
      </c>
    </row>
    <row r="122" spans="1:11" ht="15.75" thickBot="1">
      <c r="A122" s="225" t="s">
        <v>214</v>
      </c>
      <c r="B122" s="234">
        <f t="shared" ref="B122:B133" si="20">+B101</f>
        <v>34563645.513240866</v>
      </c>
      <c r="C122" s="234">
        <f t="shared" ref="C122:K133" si="21">B122+C101</f>
        <v>69127291.026481733</v>
      </c>
      <c r="D122" s="234">
        <f t="shared" si="21"/>
        <v>103690936.53972259</v>
      </c>
      <c r="E122" s="234">
        <f t="shared" si="21"/>
        <v>138254582.05296347</v>
      </c>
      <c r="F122" s="234">
        <f t="shared" si="21"/>
        <v>172818227.56620434</v>
      </c>
      <c r="G122" s="234">
        <f t="shared" si="21"/>
        <v>207381873.07944521</v>
      </c>
      <c r="H122" s="234">
        <f t="shared" si="21"/>
        <v>241945518.59268609</v>
      </c>
      <c r="I122" s="234">
        <f t="shared" si="21"/>
        <v>276509164.10592693</v>
      </c>
      <c r="J122" s="234">
        <f t="shared" si="21"/>
        <v>311072809.6191678</v>
      </c>
      <c r="K122" s="234">
        <f t="shared" si="21"/>
        <v>345636455.13240868</v>
      </c>
    </row>
    <row r="123" spans="1:11" ht="15.75" thickBot="1">
      <c r="A123" s="225" t="s">
        <v>215</v>
      </c>
      <c r="B123" s="234">
        <f t="shared" si="20"/>
        <v>59686758.677654989</v>
      </c>
      <c r="C123" s="234">
        <f t="shared" si="21"/>
        <v>119373517.35530998</v>
      </c>
      <c r="D123" s="234">
        <f t="shared" si="21"/>
        <v>179060276.03296497</v>
      </c>
      <c r="E123" s="234">
        <f t="shared" si="21"/>
        <v>238747034.71061996</v>
      </c>
      <c r="F123" s="234">
        <f t="shared" si="21"/>
        <v>298433793.38827497</v>
      </c>
      <c r="G123" s="234">
        <f t="shared" si="21"/>
        <v>358120552.06592995</v>
      </c>
      <c r="H123" s="234">
        <f t="shared" si="21"/>
        <v>417807310.74358493</v>
      </c>
      <c r="I123" s="234">
        <f t="shared" si="21"/>
        <v>477494069.42123991</v>
      </c>
      <c r="J123" s="234">
        <f t="shared" si="21"/>
        <v>537180828.09889495</v>
      </c>
      <c r="K123" s="234">
        <f t="shared" si="21"/>
        <v>596867586.77654994</v>
      </c>
    </row>
    <row r="124" spans="1:11" ht="15.75" thickBot="1">
      <c r="A124" s="225" t="s">
        <v>216</v>
      </c>
      <c r="B124" s="234">
        <f t="shared" si="20"/>
        <v>483110635.14584923</v>
      </c>
      <c r="C124" s="234">
        <f t="shared" si="21"/>
        <v>966221270.29169846</v>
      </c>
      <c r="D124" s="234">
        <f t="shared" si="21"/>
        <v>1449331905.4375477</v>
      </c>
      <c r="E124" s="234">
        <f t="shared" si="21"/>
        <v>1932442540.5833969</v>
      </c>
      <c r="F124" s="234">
        <f t="shared" si="21"/>
        <v>2415553175.7292461</v>
      </c>
      <c r="G124" s="234">
        <f t="shared" si="21"/>
        <v>2898663810.8750954</v>
      </c>
      <c r="H124" s="234">
        <f t="shared" si="21"/>
        <v>3381774446.0209446</v>
      </c>
      <c r="I124" s="234">
        <f t="shared" si="21"/>
        <v>3864885081.1667938</v>
      </c>
      <c r="J124" s="234">
        <f t="shared" si="21"/>
        <v>4347995716.3126431</v>
      </c>
      <c r="K124" s="234">
        <f t="shared" si="21"/>
        <v>4831106351.4584923</v>
      </c>
    </row>
    <row r="125" spans="1:11" ht="15.75" thickBot="1">
      <c r="A125" s="225" t="s">
        <v>217</v>
      </c>
      <c r="B125" s="234">
        <f t="shared" si="20"/>
        <v>34272082.963931419</v>
      </c>
      <c r="C125" s="234">
        <f t="shared" si="21"/>
        <v>68544165.927862838</v>
      </c>
      <c r="D125" s="234">
        <f t="shared" si="21"/>
        <v>102816248.89179426</v>
      </c>
      <c r="E125" s="234">
        <f t="shared" si="21"/>
        <v>137088331.85572568</v>
      </c>
      <c r="F125" s="234">
        <f t="shared" si="21"/>
        <v>171360414.81965709</v>
      </c>
      <c r="G125" s="234">
        <f t="shared" si="21"/>
        <v>205632497.7835885</v>
      </c>
      <c r="H125" s="234">
        <f t="shared" si="21"/>
        <v>239904580.74751991</v>
      </c>
      <c r="I125" s="234">
        <f t="shared" si="21"/>
        <v>274176663.71145135</v>
      </c>
      <c r="J125" s="234">
        <f t="shared" si="21"/>
        <v>308448746.67538279</v>
      </c>
      <c r="K125" s="234">
        <f t="shared" si="21"/>
        <v>342720829.63931423</v>
      </c>
    </row>
    <row r="126" spans="1:11" ht="15.75" thickBot="1">
      <c r="A126" s="225" t="s">
        <v>218</v>
      </c>
      <c r="B126" s="234">
        <f t="shared" si="20"/>
        <v>89476645.380106464</v>
      </c>
      <c r="C126" s="234">
        <f t="shared" si="21"/>
        <v>178953290.76021293</v>
      </c>
      <c r="D126" s="234">
        <f t="shared" si="21"/>
        <v>268429936.14031941</v>
      </c>
      <c r="E126" s="234">
        <f t="shared" si="21"/>
        <v>357906581.52042586</v>
      </c>
      <c r="F126" s="234">
        <f t="shared" si="21"/>
        <v>447383226.90053231</v>
      </c>
      <c r="G126" s="234">
        <f t="shared" si="21"/>
        <v>536859872.28063875</v>
      </c>
      <c r="H126" s="234">
        <f t="shared" si="21"/>
        <v>626336517.66074526</v>
      </c>
      <c r="I126" s="234">
        <f t="shared" si="21"/>
        <v>715813163.04085171</v>
      </c>
      <c r="J126" s="234">
        <f t="shared" si="21"/>
        <v>805289808.42095816</v>
      </c>
      <c r="K126" s="234">
        <f t="shared" si="21"/>
        <v>894766453.80106461</v>
      </c>
    </row>
    <row r="127" spans="1:11" ht="15.75" thickBot="1">
      <c r="A127" s="226" t="s">
        <v>192</v>
      </c>
      <c r="B127" s="234">
        <f t="shared" si="20"/>
        <v>1172824034.206954</v>
      </c>
      <c r="C127" s="234">
        <f t="shared" si="21"/>
        <v>2345648068.413908</v>
      </c>
      <c r="D127" s="234">
        <f t="shared" si="21"/>
        <v>3518472102.620862</v>
      </c>
      <c r="E127" s="234">
        <f t="shared" si="21"/>
        <v>4691296136.827816</v>
      </c>
      <c r="F127" s="234">
        <f t="shared" si="21"/>
        <v>5864120171.03477</v>
      </c>
      <c r="G127" s="234">
        <f t="shared" si="21"/>
        <v>7036944205.241724</v>
      </c>
      <c r="H127" s="234">
        <f t="shared" si="21"/>
        <v>8209768239.448678</v>
      </c>
      <c r="I127" s="234">
        <f t="shared" si="21"/>
        <v>9382592273.655632</v>
      </c>
      <c r="J127" s="234">
        <f t="shared" si="21"/>
        <v>10555416307.862587</v>
      </c>
      <c r="K127" s="234">
        <f t="shared" si="21"/>
        <v>11728240342.069542</v>
      </c>
    </row>
    <row r="128" spans="1:11" ht="15.75" thickBot="1">
      <c r="A128" s="226" t="s">
        <v>313</v>
      </c>
      <c r="B128" s="234">
        <f t="shared" si="20"/>
        <v>739996116.82105434</v>
      </c>
      <c r="C128" s="234">
        <f t="shared" si="21"/>
        <v>1479992233.6421087</v>
      </c>
      <c r="D128" s="234">
        <f t="shared" si="21"/>
        <v>2219988350.4631629</v>
      </c>
      <c r="E128" s="234">
        <f t="shared" si="21"/>
        <v>2959984467.2842174</v>
      </c>
      <c r="F128" s="234">
        <f t="shared" si="21"/>
        <v>3699980584.1052718</v>
      </c>
      <c r="G128" s="234">
        <f t="shared" si="21"/>
        <v>4439976700.9263258</v>
      </c>
      <c r="H128" s="234">
        <f t="shared" si="21"/>
        <v>5179972817.7473803</v>
      </c>
      <c r="I128" s="234">
        <f t="shared" si="21"/>
        <v>5919968934.5684347</v>
      </c>
      <c r="J128" s="234">
        <f t="shared" si="21"/>
        <v>6659965051.3894892</v>
      </c>
      <c r="K128" s="234">
        <f t="shared" si="21"/>
        <v>7399961168.2105436</v>
      </c>
    </row>
    <row r="129" spans="1:12" ht="15.75" thickBot="1">
      <c r="A129" s="226" t="s">
        <v>313</v>
      </c>
      <c r="B129" s="234">
        <f t="shared" si="20"/>
        <v>278787986.04290366</v>
      </c>
      <c r="C129" s="234">
        <f t="shared" si="21"/>
        <v>557575972.08580732</v>
      </c>
      <c r="D129" s="234">
        <f t="shared" si="21"/>
        <v>836363958.12871099</v>
      </c>
      <c r="E129" s="234">
        <f t="shared" si="21"/>
        <v>1115151944.1716146</v>
      </c>
      <c r="F129" s="234">
        <f t="shared" si="21"/>
        <v>1393939930.2145183</v>
      </c>
      <c r="G129" s="234">
        <f t="shared" si="21"/>
        <v>1672727916.257422</v>
      </c>
      <c r="H129" s="234">
        <f t="shared" si="21"/>
        <v>1951515902.3003256</v>
      </c>
      <c r="I129" s="234">
        <f t="shared" si="21"/>
        <v>2230303888.3432293</v>
      </c>
      <c r="J129" s="234">
        <f t="shared" si="21"/>
        <v>2509091874.3861332</v>
      </c>
      <c r="K129" s="234">
        <f t="shared" si="21"/>
        <v>2787879860.4290371</v>
      </c>
    </row>
    <row r="130" spans="1:12" ht="15.75" thickBot="1">
      <c r="A130" s="226" t="s">
        <v>318</v>
      </c>
      <c r="B130" s="234">
        <f t="shared" si="20"/>
        <v>0</v>
      </c>
      <c r="C130" s="234">
        <f t="shared" si="21"/>
        <v>0</v>
      </c>
      <c r="D130" s="234">
        <f t="shared" si="21"/>
        <v>1450000000</v>
      </c>
      <c r="E130" s="234">
        <f t="shared" si="21"/>
        <v>2900000000</v>
      </c>
      <c r="F130" s="234">
        <f t="shared" si="21"/>
        <v>4350000000</v>
      </c>
      <c r="G130" s="234">
        <f t="shared" si="21"/>
        <v>5800000000</v>
      </c>
      <c r="H130" s="234">
        <f t="shared" si="21"/>
        <v>7250000000</v>
      </c>
      <c r="I130" s="234">
        <f t="shared" si="21"/>
        <v>8700000000</v>
      </c>
      <c r="J130" s="234">
        <f t="shared" si="21"/>
        <v>10150000000</v>
      </c>
      <c r="K130" s="234">
        <f t="shared" si="21"/>
        <v>11600000000</v>
      </c>
    </row>
    <row r="131" spans="1:12" ht="15.75" thickBot="1">
      <c r="A131" s="226" t="s">
        <v>319</v>
      </c>
      <c r="B131" s="234">
        <f t="shared" si="20"/>
        <v>0</v>
      </c>
      <c r="C131" s="234">
        <f t="shared" si="21"/>
        <v>0</v>
      </c>
      <c r="D131" s="234">
        <f t="shared" si="21"/>
        <v>0</v>
      </c>
      <c r="E131" s="234">
        <f t="shared" si="21"/>
        <v>2222222222.2222223</v>
      </c>
      <c r="F131" s="234">
        <f t="shared" si="21"/>
        <v>4444444444.4444447</v>
      </c>
      <c r="G131" s="234">
        <f t="shared" si="21"/>
        <v>6666666666.666667</v>
      </c>
      <c r="H131" s="234">
        <f t="shared" si="21"/>
        <v>8888888888.8888893</v>
      </c>
      <c r="I131" s="234">
        <f t="shared" si="21"/>
        <v>11111111111.111111</v>
      </c>
      <c r="J131" s="234">
        <f t="shared" si="21"/>
        <v>13333333333.333332</v>
      </c>
      <c r="K131" s="234">
        <f t="shared" si="21"/>
        <v>15555555555.555553</v>
      </c>
    </row>
    <row r="132" spans="1:12" ht="15.75" thickBot="1">
      <c r="A132" s="226" t="s">
        <v>320</v>
      </c>
      <c r="B132" s="234">
        <f t="shared" si="20"/>
        <v>0</v>
      </c>
      <c r="C132" s="234">
        <f t="shared" si="21"/>
        <v>0</v>
      </c>
      <c r="D132" s="234">
        <f t="shared" si="21"/>
        <v>0</v>
      </c>
      <c r="E132" s="234">
        <f t="shared" si="21"/>
        <v>0</v>
      </c>
      <c r="F132" s="234">
        <f t="shared" si="21"/>
        <v>0</v>
      </c>
      <c r="G132" s="234">
        <f t="shared" si="21"/>
        <v>55555555.555555552</v>
      </c>
      <c r="H132" s="234">
        <f t="shared" si="21"/>
        <v>111111111.1111111</v>
      </c>
      <c r="I132" s="234">
        <f t="shared" si="21"/>
        <v>166666666.66666666</v>
      </c>
      <c r="J132" s="234">
        <f t="shared" si="21"/>
        <v>222222222.22222221</v>
      </c>
      <c r="K132" s="234">
        <f t="shared" si="21"/>
        <v>277777777.77777779</v>
      </c>
    </row>
    <row r="133" spans="1:12" ht="15.75" thickBot="1">
      <c r="A133" s="226" t="s">
        <v>321</v>
      </c>
      <c r="B133" s="234">
        <f t="shared" si="20"/>
        <v>0</v>
      </c>
      <c r="C133" s="234">
        <f t="shared" si="21"/>
        <v>0</v>
      </c>
      <c r="D133" s="234">
        <f t="shared" si="21"/>
        <v>0</v>
      </c>
      <c r="E133" s="234">
        <f t="shared" si="21"/>
        <v>0</v>
      </c>
      <c r="F133" s="234">
        <f t="shared" si="21"/>
        <v>0</v>
      </c>
      <c r="G133" s="234">
        <f t="shared" si="21"/>
        <v>222222222.22222221</v>
      </c>
      <c r="H133" s="234">
        <f t="shared" si="21"/>
        <v>444444444.44444442</v>
      </c>
      <c r="I133" s="234">
        <f t="shared" si="21"/>
        <v>666666666.66666663</v>
      </c>
      <c r="J133" s="234">
        <f t="shared" si="21"/>
        <v>888888888.88888884</v>
      </c>
      <c r="K133" s="234">
        <f t="shared" si="21"/>
        <v>1111111111.1111112</v>
      </c>
    </row>
    <row r="134" spans="1:12" ht="15.75" thickBot="1">
      <c r="A134" s="229" t="s">
        <v>330</v>
      </c>
      <c r="B134" s="263">
        <f>SUM(B121:B133)</f>
        <v>3291214344.939208</v>
      </c>
      <c r="C134" s="263">
        <f t="shared" ref="C134:K134" si="22">SUM(C121:C133)</f>
        <v>6582428689.8784161</v>
      </c>
      <c r="D134" s="263">
        <f t="shared" si="22"/>
        <v>11323643034.817623</v>
      </c>
      <c r="E134" s="263">
        <f t="shared" si="22"/>
        <v>18287079601.979053</v>
      </c>
      <c r="F134" s="263">
        <f t="shared" si="22"/>
        <v>25250516169.14048</v>
      </c>
      <c r="G134" s="263">
        <f t="shared" si="22"/>
        <v>32491730514.079693</v>
      </c>
      <c r="H134" s="263">
        <f t="shared" si="22"/>
        <v>39732944859.018906</v>
      </c>
      <c r="I134" s="263">
        <f t="shared" si="22"/>
        <v>46974159203.958099</v>
      </c>
      <c r="J134" s="263">
        <f t="shared" si="22"/>
        <v>54215373548.897301</v>
      </c>
      <c r="K134" s="263">
        <f t="shared" si="22"/>
        <v>61456587893.836525</v>
      </c>
    </row>
    <row r="139" spans="1:12" s="138" customFormat="1" ht="15.75">
      <c r="A139" s="201"/>
      <c r="B139" s="202" t="s">
        <v>331</v>
      </c>
      <c r="C139" s="201"/>
      <c r="D139" s="201"/>
      <c r="E139" s="201"/>
      <c r="F139" s="201"/>
      <c r="G139" s="201"/>
      <c r="H139" s="201"/>
      <c r="I139" s="201"/>
    </row>
    <row r="143" spans="1:12" ht="15.75" thickBot="1">
      <c r="A143" s="224"/>
      <c r="B143" s="231">
        <v>42522</v>
      </c>
      <c r="C143" s="231">
        <v>42887</v>
      </c>
      <c r="D143" s="231">
        <v>43252</v>
      </c>
      <c r="E143" s="231">
        <v>43617</v>
      </c>
      <c r="F143" s="231">
        <v>43983</v>
      </c>
      <c r="G143" s="231">
        <v>44348</v>
      </c>
      <c r="H143" s="231">
        <v>44713</v>
      </c>
      <c r="I143" s="231">
        <v>45078</v>
      </c>
      <c r="J143" s="231">
        <v>45444</v>
      </c>
      <c r="K143" s="231">
        <v>45809</v>
      </c>
      <c r="L143" s="231">
        <v>46174</v>
      </c>
    </row>
    <row r="144" spans="1:12">
      <c r="A144" s="373" t="s">
        <v>191</v>
      </c>
      <c r="B144" s="375" t="s">
        <v>239</v>
      </c>
      <c r="C144" s="232" t="s">
        <v>332</v>
      </c>
      <c r="D144" s="232" t="s">
        <v>332</v>
      </c>
      <c r="E144" s="232" t="s">
        <v>332</v>
      </c>
      <c r="F144" s="232" t="s">
        <v>332</v>
      </c>
      <c r="G144" s="232" t="s">
        <v>332</v>
      </c>
      <c r="H144" s="232" t="s">
        <v>332</v>
      </c>
      <c r="I144" s="232" t="s">
        <v>332</v>
      </c>
      <c r="J144" s="232" t="s">
        <v>332</v>
      </c>
      <c r="K144" s="232" t="s">
        <v>332</v>
      </c>
      <c r="L144" s="232" t="s">
        <v>332</v>
      </c>
    </row>
    <row r="145" spans="1:12" ht="15.75" thickBot="1">
      <c r="A145" s="374"/>
      <c r="B145" s="376"/>
      <c r="C145" s="233">
        <v>1</v>
      </c>
      <c r="D145" s="233">
        <v>2</v>
      </c>
      <c r="E145" s="233">
        <v>3</v>
      </c>
      <c r="F145" s="233">
        <v>4</v>
      </c>
      <c r="G145" s="233">
        <v>5</v>
      </c>
      <c r="H145" s="233">
        <v>6</v>
      </c>
      <c r="I145" s="233">
        <v>7</v>
      </c>
      <c r="J145" s="233">
        <v>8</v>
      </c>
      <c r="K145" s="233">
        <v>9</v>
      </c>
      <c r="L145" s="233">
        <v>10</v>
      </c>
    </row>
    <row r="146" spans="1:12" ht="15.75" thickBot="1">
      <c r="A146" s="225" t="s">
        <v>213</v>
      </c>
      <c r="B146" s="234">
        <f>+C80</f>
        <v>8567673464.0315189</v>
      </c>
      <c r="C146" s="234">
        <f>$B$146-B121</f>
        <v>8169177023.8440065</v>
      </c>
      <c r="D146" s="234">
        <f t="shared" ref="D146:L146" si="23">$B$146-C121</f>
        <v>7770680583.6564941</v>
      </c>
      <c r="E146" s="234">
        <f t="shared" si="23"/>
        <v>7372184143.4689808</v>
      </c>
      <c r="F146" s="234">
        <f t="shared" si="23"/>
        <v>6973687703.2814693</v>
      </c>
      <c r="G146" s="234">
        <f t="shared" si="23"/>
        <v>6575191263.093956</v>
      </c>
      <c r="H146" s="234">
        <f t="shared" si="23"/>
        <v>6176694822.9064445</v>
      </c>
      <c r="I146" s="234">
        <f t="shared" si="23"/>
        <v>5778198382.7189312</v>
      </c>
      <c r="J146" s="234">
        <f t="shared" si="23"/>
        <v>5379701942.5314198</v>
      </c>
      <c r="K146" s="234">
        <f t="shared" si="23"/>
        <v>4981205502.3439064</v>
      </c>
      <c r="L146" s="234">
        <f t="shared" si="23"/>
        <v>4582709062.156395</v>
      </c>
    </row>
    <row r="147" spans="1:12" ht="15.75" thickBot="1">
      <c r="A147" s="225" t="s">
        <v>214</v>
      </c>
      <c r="B147" s="234">
        <f t="shared" ref="B147:B155" si="24">+C81</f>
        <v>1157882124.6935689</v>
      </c>
      <c r="C147" s="234">
        <f>$B$147-B122</f>
        <v>1123318479.1803281</v>
      </c>
      <c r="D147" s="234">
        <f t="shared" ref="D147:L147" si="25">$B$147-C122</f>
        <v>1088754833.6670873</v>
      </c>
      <c r="E147" s="234">
        <f t="shared" si="25"/>
        <v>1054191188.1538464</v>
      </c>
      <c r="F147" s="234">
        <f t="shared" si="25"/>
        <v>1019627542.6406054</v>
      </c>
      <c r="G147" s="234">
        <f t="shared" si="25"/>
        <v>985063897.12736464</v>
      </c>
      <c r="H147" s="234">
        <f t="shared" si="25"/>
        <v>950500251.6141237</v>
      </c>
      <c r="I147" s="234">
        <f t="shared" si="25"/>
        <v>915936606.10088289</v>
      </c>
      <c r="J147" s="234">
        <f t="shared" si="25"/>
        <v>881372960.58764195</v>
      </c>
      <c r="K147" s="234">
        <f t="shared" si="25"/>
        <v>846809315.07440114</v>
      </c>
      <c r="L147" s="234">
        <f t="shared" si="25"/>
        <v>812245669.56116033</v>
      </c>
    </row>
    <row r="148" spans="1:12" ht="15.75" thickBot="1">
      <c r="A148" s="225" t="s">
        <v>215</v>
      </c>
      <c r="B148" s="234">
        <f t="shared" si="24"/>
        <v>1701072622.3131671</v>
      </c>
      <c r="C148" s="234">
        <f>$B$148-B123</f>
        <v>1641385863.6355121</v>
      </c>
      <c r="D148" s="234">
        <f t="shared" ref="D148:L148" si="26">$B$148-C123</f>
        <v>1581699104.9578571</v>
      </c>
      <c r="E148" s="234">
        <f t="shared" si="26"/>
        <v>1522012346.2802022</v>
      </c>
      <c r="F148" s="234">
        <f t="shared" si="26"/>
        <v>1462325587.6025472</v>
      </c>
      <c r="G148" s="234">
        <f t="shared" si="26"/>
        <v>1402638828.9248922</v>
      </c>
      <c r="H148" s="234">
        <f t="shared" si="26"/>
        <v>1342952070.2472372</v>
      </c>
      <c r="I148" s="234">
        <f t="shared" si="26"/>
        <v>1283265311.5695822</v>
      </c>
      <c r="J148" s="234">
        <f t="shared" si="26"/>
        <v>1223578552.8919272</v>
      </c>
      <c r="K148" s="234">
        <f t="shared" si="26"/>
        <v>1163891794.214272</v>
      </c>
      <c r="L148" s="234">
        <f t="shared" si="26"/>
        <v>1104205035.5366173</v>
      </c>
    </row>
    <row r="149" spans="1:12" ht="15.75" thickBot="1">
      <c r="A149" s="225" t="s">
        <v>216</v>
      </c>
      <c r="B149" s="234">
        <f t="shared" si="24"/>
        <v>7005104209.6148138</v>
      </c>
      <c r="C149" s="234">
        <f>$B$149-B124</f>
        <v>6521993574.4689646</v>
      </c>
      <c r="D149" s="234">
        <f t="shared" ref="D149:L149" si="27">$B$149-C124</f>
        <v>6038882939.3231153</v>
      </c>
      <c r="E149" s="234">
        <f t="shared" si="27"/>
        <v>5555772304.1772661</v>
      </c>
      <c r="F149" s="234">
        <f t="shared" si="27"/>
        <v>5072661669.0314169</v>
      </c>
      <c r="G149" s="234">
        <f t="shared" si="27"/>
        <v>4589551033.8855677</v>
      </c>
      <c r="H149" s="234">
        <f t="shared" si="27"/>
        <v>4106440398.7397184</v>
      </c>
      <c r="I149" s="234">
        <f t="shared" si="27"/>
        <v>3623329763.5938692</v>
      </c>
      <c r="J149" s="234">
        <f t="shared" si="27"/>
        <v>3140219128.44802</v>
      </c>
      <c r="K149" s="234">
        <f t="shared" si="27"/>
        <v>2657108493.3021708</v>
      </c>
      <c r="L149" s="234">
        <f t="shared" si="27"/>
        <v>2173997858.1563215</v>
      </c>
    </row>
    <row r="150" spans="1:12" ht="15.75" thickBot="1">
      <c r="A150" s="225" t="s">
        <v>217</v>
      </c>
      <c r="B150" s="234">
        <f t="shared" si="24"/>
        <v>1189241278.8484204</v>
      </c>
      <c r="C150" s="234">
        <f>$B$150-B125</f>
        <v>1154969195.8844891</v>
      </c>
      <c r="D150" s="234">
        <f t="shared" ref="D150:L150" si="28">$B$150-C125</f>
        <v>1120697112.9205575</v>
      </c>
      <c r="E150" s="234">
        <f t="shared" si="28"/>
        <v>1086425029.9566262</v>
      </c>
      <c r="F150" s="234">
        <f t="shared" si="28"/>
        <v>1052152946.9926947</v>
      </c>
      <c r="G150" s="234">
        <f t="shared" si="28"/>
        <v>1017880864.0287633</v>
      </c>
      <c r="H150" s="234">
        <f t="shared" si="28"/>
        <v>983608781.06483185</v>
      </c>
      <c r="I150" s="234">
        <f t="shared" si="28"/>
        <v>949336698.10090041</v>
      </c>
      <c r="J150" s="234">
        <f t="shared" si="28"/>
        <v>915064615.13696909</v>
      </c>
      <c r="K150" s="234">
        <f t="shared" si="28"/>
        <v>880792532.17303753</v>
      </c>
      <c r="L150" s="234">
        <f t="shared" si="28"/>
        <v>846520449.20910621</v>
      </c>
    </row>
    <row r="151" spans="1:12" ht="15.75" thickBot="1">
      <c r="A151" s="225" t="s">
        <v>218</v>
      </c>
      <c r="B151" s="234">
        <f t="shared" si="24"/>
        <v>3086944265.6136732</v>
      </c>
      <c r="C151" s="234">
        <f>$B$151-B126</f>
        <v>2997467620.2335668</v>
      </c>
      <c r="D151" s="234">
        <f t="shared" ref="D151:L151" si="29">$B$151-C126</f>
        <v>2907990974.8534603</v>
      </c>
      <c r="E151" s="234">
        <f t="shared" si="29"/>
        <v>2818514329.4733539</v>
      </c>
      <c r="F151" s="234">
        <f t="shared" si="29"/>
        <v>2729037684.0932474</v>
      </c>
      <c r="G151" s="234">
        <f t="shared" si="29"/>
        <v>2639561038.713141</v>
      </c>
      <c r="H151" s="234">
        <f t="shared" si="29"/>
        <v>2550084393.3330345</v>
      </c>
      <c r="I151" s="234">
        <f t="shared" si="29"/>
        <v>2460607747.9529281</v>
      </c>
      <c r="J151" s="234">
        <f t="shared" si="29"/>
        <v>2371131102.5728216</v>
      </c>
      <c r="K151" s="234">
        <f t="shared" si="29"/>
        <v>2281654457.1927152</v>
      </c>
      <c r="L151" s="234">
        <f t="shared" si="29"/>
        <v>2192177811.8126087</v>
      </c>
    </row>
    <row r="152" spans="1:12" ht="15.75" thickBot="1">
      <c r="A152" s="226" t="s">
        <v>192</v>
      </c>
      <c r="B152" s="234">
        <f t="shared" si="24"/>
        <v>31079836906.484283</v>
      </c>
      <c r="C152" s="234">
        <f>$B$152-B127</f>
        <v>29907012872.277328</v>
      </c>
      <c r="D152" s="234">
        <f t="shared" ref="D152:L152" si="30">$B$152-C127</f>
        <v>28734188838.070374</v>
      </c>
      <c r="E152" s="234">
        <f t="shared" si="30"/>
        <v>27561364803.863422</v>
      </c>
      <c r="F152" s="234">
        <f t="shared" si="30"/>
        <v>26388540769.656467</v>
      </c>
      <c r="G152" s="234">
        <f t="shared" si="30"/>
        <v>25215716735.449512</v>
      </c>
      <c r="H152" s="234">
        <f t="shared" si="30"/>
        <v>24042892701.242561</v>
      </c>
      <c r="I152" s="234">
        <f t="shared" si="30"/>
        <v>22870068667.035606</v>
      </c>
      <c r="J152" s="234">
        <f t="shared" si="30"/>
        <v>21697244632.828651</v>
      </c>
      <c r="K152" s="234">
        <f t="shared" si="30"/>
        <v>20524420598.621696</v>
      </c>
      <c r="L152" s="234">
        <f t="shared" si="30"/>
        <v>19351596564.414742</v>
      </c>
    </row>
    <row r="153" spans="1:12" ht="15.75" thickBot="1">
      <c r="A153" s="226" t="s">
        <v>313</v>
      </c>
      <c r="B153" s="234">
        <f t="shared" si="24"/>
        <v>23309877679.863213</v>
      </c>
      <c r="C153" s="234">
        <f>$B$153-B128</f>
        <v>22569881563.04216</v>
      </c>
      <c r="D153" s="234">
        <f t="shared" ref="D153:L153" si="31">$B$153-C128</f>
        <v>21829885446.221104</v>
      </c>
      <c r="E153" s="234">
        <f t="shared" si="31"/>
        <v>21089889329.400051</v>
      </c>
      <c r="F153" s="234">
        <f t="shared" si="31"/>
        <v>20349893212.578995</v>
      </c>
      <c r="G153" s="234">
        <f t="shared" si="31"/>
        <v>19609897095.757942</v>
      </c>
      <c r="H153" s="234">
        <f t="shared" si="31"/>
        <v>18869900978.936886</v>
      </c>
      <c r="I153" s="234">
        <f t="shared" si="31"/>
        <v>18129904862.115833</v>
      </c>
      <c r="J153" s="234">
        <f t="shared" si="31"/>
        <v>17389908745.294777</v>
      </c>
      <c r="K153" s="234">
        <f t="shared" si="31"/>
        <v>16649912628.473724</v>
      </c>
      <c r="L153" s="234">
        <f t="shared" si="31"/>
        <v>15909916511.652668</v>
      </c>
    </row>
    <row r="154" spans="1:12" ht="15.75" thickBot="1">
      <c r="A154" s="225" t="s">
        <v>193</v>
      </c>
      <c r="B154" s="234">
        <f t="shared" si="24"/>
        <v>12431934762.593712</v>
      </c>
      <c r="C154" s="234">
        <f>+B154</f>
        <v>12431934762.593712</v>
      </c>
      <c r="D154" s="234">
        <f t="shared" ref="D154:L154" si="32">+C154</f>
        <v>12431934762.593712</v>
      </c>
      <c r="E154" s="234">
        <f t="shared" si="32"/>
        <v>12431934762.593712</v>
      </c>
      <c r="F154" s="234">
        <f t="shared" si="32"/>
        <v>12431934762.593712</v>
      </c>
      <c r="G154" s="234">
        <f t="shared" si="32"/>
        <v>12431934762.593712</v>
      </c>
      <c r="H154" s="234">
        <f t="shared" si="32"/>
        <v>12431934762.593712</v>
      </c>
      <c r="I154" s="234">
        <f t="shared" si="32"/>
        <v>12431934762.593712</v>
      </c>
      <c r="J154" s="234">
        <f t="shared" si="32"/>
        <v>12431934762.593712</v>
      </c>
      <c r="K154" s="234">
        <f t="shared" si="32"/>
        <v>12431934762.593712</v>
      </c>
      <c r="L154" s="234">
        <f t="shared" si="32"/>
        <v>12431934762.593712</v>
      </c>
    </row>
    <row r="155" spans="1:12" ht="15.75" thickBot="1">
      <c r="A155" s="226" t="s">
        <v>313</v>
      </c>
      <c r="B155" s="234">
        <f t="shared" si="24"/>
        <v>12127277392.86631</v>
      </c>
      <c r="C155" s="234">
        <f>$B$155-B129</f>
        <v>11848489406.823406</v>
      </c>
      <c r="D155" s="234">
        <f t="shared" ref="D155:L155" si="33">$B$155-C129</f>
        <v>11569701420.780502</v>
      </c>
      <c r="E155" s="234">
        <f t="shared" si="33"/>
        <v>11290913434.737598</v>
      </c>
      <c r="F155" s="234">
        <f t="shared" si="33"/>
        <v>11012125448.694695</v>
      </c>
      <c r="G155" s="234">
        <f t="shared" si="33"/>
        <v>10733337462.651793</v>
      </c>
      <c r="H155" s="234">
        <f t="shared" si="33"/>
        <v>10454549476.608889</v>
      </c>
      <c r="I155" s="234">
        <f t="shared" si="33"/>
        <v>10175761490.565985</v>
      </c>
      <c r="J155" s="234">
        <f t="shared" si="33"/>
        <v>9896973504.5230808</v>
      </c>
      <c r="K155" s="234">
        <f t="shared" si="33"/>
        <v>9618185518.4801769</v>
      </c>
      <c r="L155" s="234">
        <f t="shared" si="33"/>
        <v>9339397532.437273</v>
      </c>
    </row>
    <row r="156" spans="1:12" ht="15.75" thickBot="1">
      <c r="A156" s="226" t="s">
        <v>318</v>
      </c>
      <c r="B156" s="234"/>
      <c r="C156" s="234"/>
      <c r="D156" s="234"/>
      <c r="E156" s="234">
        <f>$C$90-D130</f>
        <v>56550000000</v>
      </c>
      <c r="F156" s="234">
        <f t="shared" ref="F156:L156" si="34">$C$90-E130</f>
        <v>55100000000</v>
      </c>
      <c r="G156" s="234">
        <f t="shared" si="34"/>
        <v>53650000000</v>
      </c>
      <c r="H156" s="234">
        <f t="shared" si="34"/>
        <v>52200000000</v>
      </c>
      <c r="I156" s="234">
        <f t="shared" si="34"/>
        <v>50750000000</v>
      </c>
      <c r="J156" s="234">
        <f t="shared" si="34"/>
        <v>49300000000</v>
      </c>
      <c r="K156" s="234">
        <f t="shared" si="34"/>
        <v>47850000000</v>
      </c>
      <c r="L156" s="234">
        <f t="shared" si="34"/>
        <v>46400000000</v>
      </c>
    </row>
    <row r="157" spans="1:12" ht="15.75" thickBot="1">
      <c r="A157" s="226" t="s">
        <v>319</v>
      </c>
      <c r="B157" s="234"/>
      <c r="C157" s="234">
        <f>$B$157-B131</f>
        <v>0</v>
      </c>
      <c r="D157" s="234">
        <f t="shared" ref="D157:E157" si="35">$B$157-C131</f>
        <v>0</v>
      </c>
      <c r="E157" s="234">
        <f t="shared" si="35"/>
        <v>0</v>
      </c>
      <c r="F157" s="234">
        <f>$C$91-E131</f>
        <v>97777777777.777771</v>
      </c>
      <c r="G157" s="234">
        <f t="shared" ref="G157:L157" si="36">$C$91-F131</f>
        <v>95555555555.555557</v>
      </c>
      <c r="H157" s="234">
        <f t="shared" si="36"/>
        <v>93333333333.333328</v>
      </c>
      <c r="I157" s="234">
        <f t="shared" si="36"/>
        <v>91111111111.111115</v>
      </c>
      <c r="J157" s="234">
        <f t="shared" si="36"/>
        <v>88888888888.888885</v>
      </c>
      <c r="K157" s="234">
        <f t="shared" si="36"/>
        <v>86666666666.666672</v>
      </c>
      <c r="L157" s="234">
        <f t="shared" si="36"/>
        <v>84444444444.444443</v>
      </c>
    </row>
    <row r="158" spans="1:12" ht="15.75" thickBot="1">
      <c r="A158" s="226" t="s">
        <v>320</v>
      </c>
      <c r="B158" s="234"/>
      <c r="C158" s="234">
        <f>$B$158-B132</f>
        <v>0</v>
      </c>
      <c r="D158" s="234">
        <f t="shared" ref="D158:F158" si="37">$B$158-C132</f>
        <v>0</v>
      </c>
      <c r="E158" s="234">
        <f t="shared" si="37"/>
        <v>0</v>
      </c>
      <c r="F158" s="234">
        <f t="shared" si="37"/>
        <v>0</v>
      </c>
      <c r="G158" s="234"/>
      <c r="H158" s="234">
        <f>$C$92-G132</f>
        <v>2444444444.4444447</v>
      </c>
      <c r="I158" s="234">
        <f t="shared" ref="I158:L158" si="38">$C$92-H132</f>
        <v>2388888888.8888888</v>
      </c>
      <c r="J158" s="234">
        <f t="shared" si="38"/>
        <v>2333333333.3333335</v>
      </c>
      <c r="K158" s="234">
        <f t="shared" si="38"/>
        <v>2277777777.7777777</v>
      </c>
      <c r="L158" s="234">
        <f t="shared" si="38"/>
        <v>2222222222.2222223</v>
      </c>
    </row>
    <row r="159" spans="1:12" ht="15.75" thickBot="1">
      <c r="A159" s="226" t="s">
        <v>321</v>
      </c>
      <c r="B159" s="234"/>
      <c r="C159" s="234">
        <f>$B$159-B133</f>
        <v>0</v>
      </c>
      <c r="D159" s="234">
        <f t="shared" ref="D159:F159" si="39">$B$159-C133</f>
        <v>0</v>
      </c>
      <c r="E159" s="234">
        <f t="shared" si="39"/>
        <v>0</v>
      </c>
      <c r="F159" s="234">
        <f t="shared" si="39"/>
        <v>0</v>
      </c>
      <c r="G159" s="234"/>
      <c r="H159" s="234">
        <f>$C$93-G133</f>
        <v>9777777777.7777786</v>
      </c>
      <c r="I159" s="234">
        <f t="shared" ref="I159:L159" si="40">$C$93-H133</f>
        <v>9555555555.5555553</v>
      </c>
      <c r="J159" s="234">
        <f t="shared" si="40"/>
        <v>9333333333.333334</v>
      </c>
      <c r="K159" s="234">
        <f t="shared" si="40"/>
        <v>9111111111.1111107</v>
      </c>
      <c r="L159" s="234">
        <f t="shared" si="40"/>
        <v>8888888888.8888893</v>
      </c>
    </row>
    <row r="160" spans="1:12" ht="18.75" thickBot="1">
      <c r="A160" s="236" t="s">
        <v>333</v>
      </c>
      <c r="B160" s="237">
        <f>SUM(B146:B159)</f>
        <v>101656844706.92267</v>
      </c>
      <c r="C160" s="237">
        <f t="shared" ref="C160:L160" si="41">SUM(C146:C159)</f>
        <v>98365630361.983475</v>
      </c>
      <c r="D160" s="237">
        <f t="shared" si="41"/>
        <v>95074416017.044266</v>
      </c>
      <c r="E160" s="237">
        <f t="shared" si="41"/>
        <v>148333201672.10504</v>
      </c>
      <c r="F160" s="237">
        <f t="shared" si="41"/>
        <v>241369765104.94363</v>
      </c>
      <c r="G160" s="237">
        <f t="shared" si="41"/>
        <v>234406328537.78223</v>
      </c>
      <c r="H160" s="237">
        <f t="shared" si="41"/>
        <v>239665114192.84302</v>
      </c>
      <c r="I160" s="237">
        <f t="shared" si="41"/>
        <v>232423899847.90378</v>
      </c>
      <c r="J160" s="237">
        <f t="shared" si="41"/>
        <v>225182685502.9646</v>
      </c>
      <c r="K160" s="237">
        <f t="shared" si="41"/>
        <v>217941471158.02536</v>
      </c>
      <c r="L160" s="237">
        <f t="shared" si="41"/>
        <v>210700256813.08615</v>
      </c>
    </row>
    <row r="163" spans="1:12" s="138" customFormat="1" ht="15.75">
      <c r="A163" s="201"/>
      <c r="B163" s="202" t="s">
        <v>334</v>
      </c>
      <c r="C163" s="201"/>
      <c r="D163" s="201"/>
      <c r="E163" s="201"/>
      <c r="F163" s="201"/>
      <c r="G163" s="201"/>
      <c r="H163" s="201"/>
      <c r="I163" s="201"/>
    </row>
    <row r="166" spans="1:12">
      <c r="A166" t="s">
        <v>338</v>
      </c>
      <c r="B166" s="246">
        <v>0.12759999999999999</v>
      </c>
    </row>
    <row r="167" spans="1:12" ht="15.75" thickBot="1">
      <c r="C167" s="230">
        <v>42887</v>
      </c>
      <c r="D167" s="230">
        <v>43252</v>
      </c>
      <c r="E167" s="230">
        <v>43617</v>
      </c>
      <c r="F167" s="230">
        <v>43983</v>
      </c>
      <c r="G167" s="230">
        <v>44348</v>
      </c>
      <c r="H167" s="230">
        <v>44713</v>
      </c>
      <c r="I167" s="230">
        <v>45078</v>
      </c>
      <c r="J167" s="230">
        <v>45444</v>
      </c>
      <c r="K167" s="230">
        <v>45809</v>
      </c>
      <c r="L167" s="230">
        <v>46174</v>
      </c>
    </row>
    <row r="168" spans="1:12" ht="15.75" thickBot="1">
      <c r="A168" s="238" t="s">
        <v>194</v>
      </c>
      <c r="B168" s="239" t="s">
        <v>335</v>
      </c>
      <c r="C168" s="240">
        <v>1</v>
      </c>
      <c r="D168" s="240">
        <v>2</v>
      </c>
      <c r="E168" s="240">
        <v>3</v>
      </c>
      <c r="F168" s="240">
        <v>4</v>
      </c>
      <c r="G168" s="240">
        <v>5</v>
      </c>
      <c r="H168" s="240">
        <v>6</v>
      </c>
      <c r="I168" s="240">
        <v>7</v>
      </c>
      <c r="J168" s="240">
        <v>8</v>
      </c>
      <c r="K168" s="240">
        <v>9</v>
      </c>
      <c r="L168" s="240">
        <v>10</v>
      </c>
    </row>
    <row r="169" spans="1:12" ht="15.75" thickBot="1">
      <c r="A169" s="241"/>
      <c r="B169" s="209"/>
      <c r="C169" s="242" t="s">
        <v>195</v>
      </c>
      <c r="D169" s="242" t="s">
        <v>196</v>
      </c>
      <c r="E169" s="242" t="s">
        <v>197</v>
      </c>
      <c r="F169" s="242" t="s">
        <v>198</v>
      </c>
      <c r="G169" s="242" t="s">
        <v>199</v>
      </c>
      <c r="H169" s="242" t="s">
        <v>200</v>
      </c>
      <c r="I169" s="242" t="s">
        <v>201</v>
      </c>
      <c r="J169" s="242" t="s">
        <v>202</v>
      </c>
      <c r="K169" s="242" t="s">
        <v>203</v>
      </c>
      <c r="L169" s="242" t="s">
        <v>204</v>
      </c>
    </row>
    <row r="170" spans="1:12" ht="15.75" thickBot="1">
      <c r="A170" s="243" t="s">
        <v>241</v>
      </c>
      <c r="B170" s="264"/>
      <c r="C170" s="234">
        <f>+B113</f>
        <v>3291214344.939208</v>
      </c>
      <c r="D170" s="234">
        <f t="shared" ref="D170:L170" si="42">+C113</f>
        <v>3291214344.939208</v>
      </c>
      <c r="E170" s="234">
        <f t="shared" si="42"/>
        <v>4741214344.939208</v>
      </c>
      <c r="F170" s="234">
        <f t="shared" si="42"/>
        <v>6963436567.1614304</v>
      </c>
      <c r="G170" s="234">
        <f t="shared" si="42"/>
        <v>6963436567.1614304</v>
      </c>
      <c r="H170" s="234">
        <f t="shared" si="42"/>
        <v>7241214344.939208</v>
      </c>
      <c r="I170" s="234">
        <f t="shared" si="42"/>
        <v>7241214344.939208</v>
      </c>
      <c r="J170" s="234">
        <f t="shared" si="42"/>
        <v>7241214344.939208</v>
      </c>
      <c r="K170" s="234">
        <f t="shared" si="42"/>
        <v>7241214344.939208</v>
      </c>
      <c r="L170" s="234">
        <f t="shared" si="42"/>
        <v>7241214344.939208</v>
      </c>
    </row>
    <row r="171" spans="1:12" ht="18.75" thickBot="1">
      <c r="A171" s="244" t="s">
        <v>336</v>
      </c>
      <c r="B171" s="264"/>
      <c r="C171" s="234">
        <f>B160*$B$166</f>
        <v>12971413384.603333</v>
      </c>
      <c r="D171" s="234">
        <f t="shared" ref="D171:L171" si="43">C160*$B$166</f>
        <v>12551454434.189091</v>
      </c>
      <c r="E171" s="234">
        <f t="shared" si="43"/>
        <v>12131495483.774847</v>
      </c>
      <c r="F171" s="234">
        <f t="shared" si="43"/>
        <v>18927316533.360603</v>
      </c>
      <c r="G171" s="234">
        <f t="shared" si="43"/>
        <v>30798782027.390804</v>
      </c>
      <c r="H171" s="234">
        <f t="shared" si="43"/>
        <v>29910247521.421009</v>
      </c>
      <c r="I171" s="234">
        <f t="shared" si="43"/>
        <v>30581268571.006767</v>
      </c>
      <c r="J171" s="234">
        <f t="shared" si="43"/>
        <v>29657289620.592522</v>
      </c>
      <c r="K171" s="234">
        <f t="shared" si="43"/>
        <v>28733310670.17828</v>
      </c>
      <c r="L171" s="234">
        <f t="shared" si="43"/>
        <v>27809331719.764034</v>
      </c>
    </row>
    <row r="172" spans="1:12" ht="18.75" thickBot="1">
      <c r="A172" s="245" t="s">
        <v>337</v>
      </c>
      <c r="B172" s="237">
        <f>NPV(B166,C172:L172)</f>
        <v>146644063648.89258</v>
      </c>
      <c r="C172" s="234">
        <f>C170+C171</f>
        <v>16262627729.542542</v>
      </c>
      <c r="D172" s="234">
        <f t="shared" ref="D172:L172" si="44">D170+D171</f>
        <v>15842668779.1283</v>
      </c>
      <c r="E172" s="234">
        <f t="shared" si="44"/>
        <v>16872709828.714054</v>
      </c>
      <c r="F172" s="234">
        <f t="shared" si="44"/>
        <v>25890753100.522034</v>
      </c>
      <c r="G172" s="234">
        <f t="shared" si="44"/>
        <v>37762218594.552231</v>
      </c>
      <c r="H172" s="234">
        <f t="shared" si="44"/>
        <v>37151461866.360214</v>
      </c>
      <c r="I172" s="234">
        <f t="shared" si="44"/>
        <v>37822482915.945976</v>
      </c>
      <c r="J172" s="234">
        <f t="shared" si="44"/>
        <v>36898503965.531731</v>
      </c>
      <c r="K172" s="234">
        <f t="shared" si="44"/>
        <v>35974525015.117485</v>
      </c>
      <c r="L172" s="234">
        <f t="shared" si="44"/>
        <v>35050546064.703239</v>
      </c>
    </row>
    <row r="173" spans="1:12" ht="15.75" thickBot="1">
      <c r="A173" s="245" t="s">
        <v>164</v>
      </c>
      <c r="B173" s="237">
        <f>NPV(B166,C173:L173)</f>
        <v>262859853.26100951</v>
      </c>
      <c r="C173" s="234">
        <f>+'CCP APS 2'!D28</f>
        <v>48639665.29954122</v>
      </c>
      <c r="D173" s="234">
        <f>+'CCP APS 2'!E28</f>
        <v>46154900.189885341</v>
      </c>
      <c r="E173" s="234">
        <f>+'CCP APS 2'!F28</f>
        <v>48079832.582303904</v>
      </c>
      <c r="F173" s="234">
        <f>+'CCP APS 2'!G28</f>
        <v>48618961.436501339</v>
      </c>
      <c r="G173" s="234">
        <f>+'CCP APS 2'!H28</f>
        <v>49164569.692239434</v>
      </c>
      <c r="H173" s="234">
        <f>+'CCP APS 2'!I28</f>
        <v>49716737.495592363</v>
      </c>
      <c r="I173" s="234">
        <f>+'CCP APS 2'!J28</f>
        <v>45931060.425023034</v>
      </c>
      <c r="J173" s="234">
        <f>+'CCP APS 2'!K28</f>
        <v>46559503.974964246</v>
      </c>
      <c r="K173" s="234">
        <f>+'CCP APS 2'!L28</f>
        <v>47200353.081477202</v>
      </c>
      <c r="L173" s="234">
        <f>+'CCP APS 2'!M28</f>
        <v>49890906.016700447</v>
      </c>
    </row>
    <row r="175" spans="1:12">
      <c r="A175" s="248" t="s">
        <v>190</v>
      </c>
      <c r="B175" s="265">
        <f>B172/B173</f>
        <v>557.87927228004946</v>
      </c>
    </row>
  </sheetData>
  <mergeCells count="16">
    <mergeCell ref="A1:H1"/>
    <mergeCell ref="A49:A50"/>
    <mergeCell ref="B49:B50"/>
    <mergeCell ref="C49:C50"/>
    <mergeCell ref="D49:D50"/>
    <mergeCell ref="E49:E50"/>
    <mergeCell ref="G78:G79"/>
    <mergeCell ref="H78:H79"/>
    <mergeCell ref="A144:A145"/>
    <mergeCell ref="B144:B145"/>
    <mergeCell ref="A78:A79"/>
    <mergeCell ref="B78:B79"/>
    <mergeCell ref="C78:C79"/>
    <mergeCell ref="D78:D79"/>
    <mergeCell ref="E78:E79"/>
    <mergeCell ref="F78:F79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DX175"/>
  <sheetViews>
    <sheetView workbookViewId="0">
      <selection sqref="A1:H1"/>
    </sheetView>
  </sheetViews>
  <sheetFormatPr baseColWidth="10" defaultRowHeight="15"/>
  <cols>
    <col min="1" max="1" width="37.28515625" customWidth="1"/>
    <col min="2" max="2" width="23.7109375" bestFit="1" customWidth="1"/>
    <col min="3" max="3" width="14.140625" customWidth="1"/>
    <col min="4" max="4" width="15.140625" bestFit="1" customWidth="1"/>
    <col min="5" max="5" width="14.42578125" bestFit="1" customWidth="1"/>
    <col min="6" max="6" width="12.5703125" customWidth="1"/>
    <col min="7" max="7" width="14.42578125" bestFit="1" customWidth="1"/>
    <col min="8" max="14" width="12.5703125" bestFit="1" customWidth="1"/>
    <col min="15" max="15" width="15.42578125" bestFit="1" customWidth="1"/>
    <col min="16" max="17" width="13.140625" customWidth="1"/>
    <col min="18" max="18" width="15.5703125" customWidth="1"/>
  </cols>
  <sheetData>
    <row r="1" spans="1:32" ht="21">
      <c r="A1" s="350" t="s">
        <v>284</v>
      </c>
      <c r="B1" s="350"/>
      <c r="C1" s="350"/>
      <c r="D1" s="350"/>
      <c r="E1" s="350"/>
      <c r="F1" s="350"/>
      <c r="G1" s="350"/>
      <c r="H1" s="350"/>
    </row>
    <row r="3" spans="1:32" s="138" customFormat="1" ht="15.75">
      <c r="A3" s="201"/>
      <c r="B3" s="202" t="s">
        <v>205</v>
      </c>
      <c r="C3" s="201"/>
      <c r="D3" s="201"/>
      <c r="E3" s="201"/>
      <c r="F3" s="201"/>
      <c r="G3" s="201"/>
      <c r="H3" s="201"/>
      <c r="I3" s="201"/>
    </row>
    <row r="6" spans="1:32" ht="15.75" thickBot="1">
      <c r="C6" s="17"/>
      <c r="D6" s="17"/>
      <c r="E6" s="17"/>
      <c r="F6" s="17"/>
      <c r="G6" s="17"/>
    </row>
    <row r="7" spans="1:32">
      <c r="A7" s="164" t="s">
        <v>287</v>
      </c>
      <c r="B7" s="195"/>
      <c r="C7" s="198"/>
      <c r="D7" s="17"/>
      <c r="E7" s="17"/>
      <c r="F7" s="17"/>
      <c r="G7" s="17"/>
    </row>
    <row r="8" spans="1:32">
      <c r="A8" s="165" t="s">
        <v>288</v>
      </c>
      <c r="B8" s="196">
        <v>0.13339999999999999</v>
      </c>
      <c r="C8" s="199"/>
      <c r="D8" s="199"/>
      <c r="E8" s="17"/>
      <c r="F8" s="17"/>
      <c r="G8" s="17"/>
      <c r="P8" s="135"/>
    </row>
    <row r="9" spans="1:32">
      <c r="A9" s="165" t="s">
        <v>289</v>
      </c>
      <c r="B9" s="197">
        <v>800</v>
      </c>
      <c r="C9" s="200"/>
      <c r="D9" s="17"/>
      <c r="E9" s="17"/>
      <c r="F9" s="17"/>
      <c r="G9" s="17"/>
    </row>
    <row r="10" spans="1:32">
      <c r="A10" s="165" t="s">
        <v>296</v>
      </c>
      <c r="B10" s="197">
        <f>14*B9*12</f>
        <v>134400</v>
      </c>
      <c r="C10" s="200"/>
      <c r="D10" s="17"/>
      <c r="E10" s="17"/>
      <c r="F10" s="17"/>
      <c r="G10" s="17"/>
    </row>
    <row r="11" spans="1:32">
      <c r="A11" s="17"/>
      <c r="B11" s="32"/>
      <c r="F11" s="15"/>
    </row>
    <row r="13" spans="1:32">
      <c r="A13" s="139" t="s">
        <v>127</v>
      </c>
      <c r="B13" s="139">
        <v>2003</v>
      </c>
      <c r="C13" s="139">
        <f t="shared" ref="C13:AF13" si="0">+B13+1</f>
        <v>2004</v>
      </c>
      <c r="D13" s="139">
        <f t="shared" si="0"/>
        <v>2005</v>
      </c>
      <c r="E13" s="139">
        <f t="shared" si="0"/>
        <v>2006</v>
      </c>
      <c r="F13" s="139">
        <f t="shared" si="0"/>
        <v>2007</v>
      </c>
      <c r="G13" s="139">
        <f t="shared" si="0"/>
        <v>2008</v>
      </c>
      <c r="H13" s="139">
        <f t="shared" si="0"/>
        <v>2009</v>
      </c>
      <c r="I13" s="139">
        <f t="shared" si="0"/>
        <v>2010</v>
      </c>
      <c r="J13" s="139">
        <f t="shared" si="0"/>
        <v>2011</v>
      </c>
      <c r="K13" s="139">
        <f t="shared" si="0"/>
        <v>2012</v>
      </c>
      <c r="L13" s="139">
        <f t="shared" si="0"/>
        <v>2013</v>
      </c>
      <c r="M13" s="139">
        <f t="shared" si="0"/>
        <v>2014</v>
      </c>
      <c r="N13" s="139">
        <f t="shared" si="0"/>
        <v>2015</v>
      </c>
      <c r="O13" s="139">
        <f t="shared" si="0"/>
        <v>2016</v>
      </c>
      <c r="P13" s="139">
        <f t="shared" si="0"/>
        <v>2017</v>
      </c>
      <c r="Q13" s="139">
        <f t="shared" si="0"/>
        <v>2018</v>
      </c>
      <c r="R13" s="139">
        <f t="shared" si="0"/>
        <v>2019</v>
      </c>
      <c r="S13" s="139">
        <f t="shared" si="0"/>
        <v>2020</v>
      </c>
      <c r="T13" s="139">
        <f t="shared" si="0"/>
        <v>2021</v>
      </c>
      <c r="U13" s="139">
        <f t="shared" si="0"/>
        <v>2022</v>
      </c>
      <c r="V13" s="139">
        <f t="shared" si="0"/>
        <v>2023</v>
      </c>
      <c r="W13" s="139">
        <f t="shared" si="0"/>
        <v>2024</v>
      </c>
      <c r="X13" s="139">
        <f t="shared" si="0"/>
        <v>2025</v>
      </c>
      <c r="Y13" s="139">
        <f t="shared" si="0"/>
        <v>2026</v>
      </c>
      <c r="Z13" s="139">
        <f t="shared" si="0"/>
        <v>2027</v>
      </c>
      <c r="AA13" s="139">
        <f t="shared" si="0"/>
        <v>2028</v>
      </c>
      <c r="AB13" s="139">
        <f t="shared" si="0"/>
        <v>2029</v>
      </c>
      <c r="AC13" s="139">
        <f t="shared" si="0"/>
        <v>2030</v>
      </c>
      <c r="AD13" s="139">
        <f t="shared" si="0"/>
        <v>2031</v>
      </c>
      <c r="AE13" s="139">
        <f t="shared" si="0"/>
        <v>2032</v>
      </c>
      <c r="AF13" s="139">
        <f t="shared" si="0"/>
        <v>2033</v>
      </c>
    </row>
    <row r="14" spans="1:32">
      <c r="B14" s="166" t="s">
        <v>290</v>
      </c>
      <c r="C14">
        <v>1</v>
      </c>
      <c r="D14">
        <v>2</v>
      </c>
      <c r="E14">
        <v>3</v>
      </c>
      <c r="F14">
        <v>4</v>
      </c>
      <c r="G14">
        <v>5</v>
      </c>
      <c r="H14">
        <v>6</v>
      </c>
      <c r="I14">
        <v>7</v>
      </c>
      <c r="J14">
        <v>8</v>
      </c>
      <c r="K14">
        <v>9</v>
      </c>
      <c r="L14">
        <v>10</v>
      </c>
      <c r="M14">
        <v>11</v>
      </c>
      <c r="N14">
        <v>12</v>
      </c>
      <c r="O14">
        <v>13</v>
      </c>
      <c r="P14">
        <v>14</v>
      </c>
      <c r="Q14">
        <v>15</v>
      </c>
      <c r="R14">
        <v>16</v>
      </c>
      <c r="S14">
        <v>17</v>
      </c>
      <c r="T14">
        <v>18</v>
      </c>
      <c r="U14">
        <v>19</v>
      </c>
      <c r="V14">
        <v>20</v>
      </c>
      <c r="W14">
        <v>21</v>
      </c>
      <c r="X14">
        <v>22</v>
      </c>
      <c r="Y14">
        <v>23</v>
      </c>
      <c r="Z14">
        <v>24</v>
      </c>
      <c r="AA14">
        <v>25</v>
      </c>
      <c r="AB14">
        <v>26</v>
      </c>
      <c r="AC14">
        <v>27</v>
      </c>
      <c r="AD14">
        <v>28</v>
      </c>
      <c r="AE14">
        <v>29</v>
      </c>
      <c r="AF14">
        <v>30</v>
      </c>
    </row>
    <row r="16" spans="1:32" ht="15.75" thickBot="1">
      <c r="A16" s="167" t="s">
        <v>297</v>
      </c>
      <c r="B16" s="168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41"/>
      <c r="N16" s="41"/>
      <c r="P16" s="67"/>
      <c r="Q16" s="67"/>
      <c r="R16" s="170" t="s">
        <v>291</v>
      </c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1:128">
      <c r="A17" s="171" t="s">
        <v>127</v>
      </c>
      <c r="B17" s="172">
        <v>2003</v>
      </c>
      <c r="C17" s="172">
        <f t="shared" ref="C17:AF17" si="1">+B17+1</f>
        <v>2004</v>
      </c>
      <c r="D17" s="172">
        <f t="shared" si="1"/>
        <v>2005</v>
      </c>
      <c r="E17" s="172">
        <f t="shared" si="1"/>
        <v>2006</v>
      </c>
      <c r="F17" s="172">
        <f t="shared" si="1"/>
        <v>2007</v>
      </c>
      <c r="G17" s="172">
        <f t="shared" si="1"/>
        <v>2008</v>
      </c>
      <c r="H17" s="172">
        <f t="shared" si="1"/>
        <v>2009</v>
      </c>
      <c r="I17" s="172">
        <f t="shared" si="1"/>
        <v>2010</v>
      </c>
      <c r="J17" s="172">
        <f t="shared" si="1"/>
        <v>2011</v>
      </c>
      <c r="K17" s="172">
        <f t="shared" si="1"/>
        <v>2012</v>
      </c>
      <c r="L17" s="172">
        <f t="shared" si="1"/>
        <v>2013</v>
      </c>
      <c r="M17" s="42">
        <f t="shared" si="1"/>
        <v>2014</v>
      </c>
      <c r="N17" s="42">
        <f t="shared" si="1"/>
        <v>2015</v>
      </c>
      <c r="O17" s="42">
        <f t="shared" si="1"/>
        <v>2016</v>
      </c>
      <c r="P17" s="42">
        <f t="shared" si="1"/>
        <v>2017</v>
      </c>
      <c r="Q17" s="42">
        <f t="shared" si="1"/>
        <v>2018</v>
      </c>
      <c r="R17" s="139">
        <f t="shared" si="1"/>
        <v>2019</v>
      </c>
      <c r="S17" s="139">
        <f t="shared" si="1"/>
        <v>2020</v>
      </c>
      <c r="T17" s="139">
        <f t="shared" si="1"/>
        <v>2021</v>
      </c>
      <c r="U17" s="139">
        <f t="shared" si="1"/>
        <v>2022</v>
      </c>
      <c r="V17" s="139">
        <f t="shared" si="1"/>
        <v>2023</v>
      </c>
      <c r="W17" s="139">
        <f t="shared" si="1"/>
        <v>2024</v>
      </c>
      <c r="X17" s="139">
        <f t="shared" si="1"/>
        <v>2025</v>
      </c>
      <c r="Y17" s="139">
        <f t="shared" si="1"/>
        <v>2026</v>
      </c>
      <c r="Z17" s="139">
        <f t="shared" si="1"/>
        <v>2027</v>
      </c>
      <c r="AA17" s="139">
        <f t="shared" si="1"/>
        <v>2028</v>
      </c>
      <c r="AB17" s="139">
        <f t="shared" si="1"/>
        <v>2029</v>
      </c>
      <c r="AC17" s="139">
        <f t="shared" si="1"/>
        <v>2030</v>
      </c>
      <c r="AD17" s="139">
        <f t="shared" si="1"/>
        <v>2031</v>
      </c>
      <c r="AE17" s="139">
        <f t="shared" si="1"/>
        <v>2032</v>
      </c>
      <c r="AF17" s="139">
        <f t="shared" si="1"/>
        <v>2033</v>
      </c>
    </row>
    <row r="18" spans="1:128">
      <c r="A18" s="174"/>
      <c r="B18" s="175" t="s">
        <v>290</v>
      </c>
      <c r="C18" s="176">
        <v>1</v>
      </c>
      <c r="D18" s="176">
        <v>2</v>
      </c>
      <c r="E18" s="176">
        <v>3</v>
      </c>
      <c r="F18" s="176">
        <v>4</v>
      </c>
      <c r="G18" s="176">
        <v>5</v>
      </c>
      <c r="H18" s="176">
        <v>6</v>
      </c>
      <c r="I18" s="176">
        <v>7</v>
      </c>
      <c r="J18" s="176">
        <v>8</v>
      </c>
      <c r="K18" s="176">
        <v>9</v>
      </c>
      <c r="L18" s="176">
        <v>10</v>
      </c>
      <c r="M18" s="176">
        <v>11</v>
      </c>
      <c r="N18" s="176">
        <v>12</v>
      </c>
      <c r="O18" s="176">
        <v>13</v>
      </c>
      <c r="P18" s="6">
        <v>14</v>
      </c>
      <c r="Q18" s="6">
        <v>15</v>
      </c>
      <c r="R18">
        <v>16</v>
      </c>
      <c r="S18">
        <v>17</v>
      </c>
      <c r="T18">
        <v>18</v>
      </c>
      <c r="U18">
        <v>19</v>
      </c>
      <c r="V18">
        <v>20</v>
      </c>
      <c r="W18">
        <v>21</v>
      </c>
      <c r="X18">
        <v>22</v>
      </c>
      <c r="Y18">
        <v>23</v>
      </c>
      <c r="Z18">
        <v>24</v>
      </c>
      <c r="AA18">
        <v>25</v>
      </c>
      <c r="AB18">
        <v>26</v>
      </c>
      <c r="AC18">
        <v>27</v>
      </c>
      <c r="AD18">
        <v>28</v>
      </c>
      <c r="AE18">
        <v>29</v>
      </c>
      <c r="AF18">
        <v>30</v>
      </c>
    </row>
    <row r="19" spans="1:128">
      <c r="A19" s="178" t="s">
        <v>213</v>
      </c>
      <c r="B19" s="179">
        <f t="shared" ref="B19:B24" si="2">NPV($B$8,C19:Q19)</f>
        <v>48526557.261337571</v>
      </c>
      <c r="C19" s="247">
        <v>55000000</v>
      </c>
      <c r="D19" s="247">
        <v>0</v>
      </c>
      <c r="E19" s="247">
        <v>0</v>
      </c>
      <c r="F19" s="247">
        <v>0</v>
      </c>
      <c r="G19" s="179">
        <v>0</v>
      </c>
      <c r="H19" s="179">
        <v>0</v>
      </c>
      <c r="I19" s="179">
        <v>0</v>
      </c>
      <c r="J19" s="179">
        <v>0</v>
      </c>
      <c r="K19" s="247">
        <v>0</v>
      </c>
      <c r="L19" s="247">
        <v>0</v>
      </c>
      <c r="M19" s="247">
        <v>0</v>
      </c>
      <c r="N19" s="179">
        <v>0</v>
      </c>
      <c r="O19" s="179">
        <v>0</v>
      </c>
      <c r="P19" s="179">
        <v>0</v>
      </c>
      <c r="Q19" s="179">
        <v>0</v>
      </c>
      <c r="R19" s="140" t="e">
        <f t="shared" ref="R19:R24" si="3">B19/$B$25*($B$37)*((1+0.1334)^$B$39)*$B$38</f>
        <v>#REF!</v>
      </c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6"/>
      <c r="AH19" s="16"/>
    </row>
    <row r="20" spans="1:128">
      <c r="A20" s="178" t="s">
        <v>214</v>
      </c>
      <c r="B20" s="179">
        <f t="shared" si="2"/>
        <v>6558143.6386094941</v>
      </c>
      <c r="C20" s="247">
        <v>7433000</v>
      </c>
      <c r="D20" s="247">
        <v>0</v>
      </c>
      <c r="E20" s="247">
        <v>0</v>
      </c>
      <c r="F20" s="247">
        <v>0</v>
      </c>
      <c r="G20" s="247">
        <v>0</v>
      </c>
      <c r="H20" s="247">
        <v>0</v>
      </c>
      <c r="I20" s="247">
        <v>0</v>
      </c>
      <c r="J20" s="247">
        <v>0</v>
      </c>
      <c r="K20" s="247">
        <v>0</v>
      </c>
      <c r="L20" s="247">
        <v>0</v>
      </c>
      <c r="M20" s="247">
        <v>0</v>
      </c>
      <c r="N20" s="247">
        <v>0</v>
      </c>
      <c r="O20" s="247">
        <v>0</v>
      </c>
      <c r="P20" s="247">
        <v>0</v>
      </c>
      <c r="Q20" s="247">
        <v>0</v>
      </c>
      <c r="R20" s="140" t="e">
        <f t="shared" si="3"/>
        <v>#REF!</v>
      </c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6"/>
      <c r="AH20" s="16"/>
    </row>
    <row r="21" spans="1:128">
      <c r="A21" s="178" t="s">
        <v>215</v>
      </c>
      <c r="B21" s="179">
        <f t="shared" si="2"/>
        <v>9634727.3689782955</v>
      </c>
      <c r="C21" s="247">
        <v>10920000</v>
      </c>
      <c r="D21" s="247">
        <v>0</v>
      </c>
      <c r="E21" s="247">
        <v>0</v>
      </c>
      <c r="F21" s="247">
        <v>0</v>
      </c>
      <c r="G21" s="247">
        <v>0</v>
      </c>
      <c r="H21" s="247">
        <v>0</v>
      </c>
      <c r="I21" s="247">
        <v>0</v>
      </c>
      <c r="J21" s="247">
        <v>0</v>
      </c>
      <c r="K21" s="247">
        <v>0</v>
      </c>
      <c r="L21" s="247">
        <v>0</v>
      </c>
      <c r="M21" s="247">
        <v>0</v>
      </c>
      <c r="N21" s="247">
        <v>0</v>
      </c>
      <c r="O21" s="247">
        <v>0</v>
      </c>
      <c r="P21" s="247">
        <v>0</v>
      </c>
      <c r="Q21" s="247">
        <v>0</v>
      </c>
      <c r="R21" s="140" t="e">
        <f t="shared" si="3"/>
        <v>#REF!</v>
      </c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6"/>
      <c r="AH21" s="16"/>
    </row>
    <row r="22" spans="1:128">
      <c r="A22" s="178" t="s">
        <v>216</v>
      </c>
      <c r="B22" s="179">
        <f t="shared" si="2"/>
        <v>39676300.920734927</v>
      </c>
      <c r="C22" s="247">
        <v>0</v>
      </c>
      <c r="D22" s="247">
        <v>50968000</v>
      </c>
      <c r="E22" s="247">
        <v>0</v>
      </c>
      <c r="F22" s="247">
        <v>0</v>
      </c>
      <c r="G22" s="247">
        <v>0</v>
      </c>
      <c r="H22" s="247">
        <v>0</v>
      </c>
      <c r="I22" s="247">
        <v>0</v>
      </c>
      <c r="J22" s="247">
        <v>0</v>
      </c>
      <c r="K22" s="247">
        <v>0</v>
      </c>
      <c r="L22" s="247">
        <v>0</v>
      </c>
      <c r="M22" s="247">
        <v>0</v>
      </c>
      <c r="N22" s="247">
        <v>0</v>
      </c>
      <c r="O22" s="247">
        <v>0</v>
      </c>
      <c r="P22" s="247">
        <v>0</v>
      </c>
      <c r="Q22" s="247">
        <v>0</v>
      </c>
      <c r="R22" s="140" t="e">
        <f t="shared" si="3"/>
        <v>#REF!</v>
      </c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6"/>
      <c r="AH22" s="16"/>
    </row>
    <row r="23" spans="1:128">
      <c r="A23" s="178" t="s">
        <v>217</v>
      </c>
      <c r="B23" s="179">
        <f t="shared" si="2"/>
        <v>6735759.1600402603</v>
      </c>
      <c r="C23" s="247">
        <v>0</v>
      </c>
      <c r="D23" s="247">
        <v>0</v>
      </c>
      <c r="E23" s="247">
        <v>9807000</v>
      </c>
      <c r="F23" s="247">
        <v>0</v>
      </c>
      <c r="G23" s="247">
        <v>0</v>
      </c>
      <c r="H23" s="247">
        <v>0</v>
      </c>
      <c r="I23" s="247">
        <v>0</v>
      </c>
      <c r="J23" s="247">
        <v>0</v>
      </c>
      <c r="K23" s="247">
        <v>0</v>
      </c>
      <c r="L23" s="247">
        <v>0</v>
      </c>
      <c r="M23" s="247">
        <v>0</v>
      </c>
      <c r="N23" s="247">
        <v>0</v>
      </c>
      <c r="O23" s="247">
        <v>0</v>
      </c>
      <c r="P23" s="247">
        <v>0</v>
      </c>
      <c r="Q23" s="247">
        <v>0</v>
      </c>
      <c r="R23" s="140" t="e">
        <f t="shared" si="3"/>
        <v>#REF!</v>
      </c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6"/>
      <c r="AH23" s="16"/>
    </row>
    <row r="24" spans="1:128">
      <c r="A24" s="178" t="s">
        <v>218</v>
      </c>
      <c r="B24" s="179">
        <f t="shared" si="2"/>
        <v>1905145671.0485642</v>
      </c>
      <c r="C24" s="249">
        <v>300000000</v>
      </c>
      <c r="D24" s="249">
        <v>300000000</v>
      </c>
      <c r="E24" s="249">
        <v>300000000</v>
      </c>
      <c r="F24" s="249">
        <v>300000000</v>
      </c>
      <c r="G24" s="249">
        <v>300000000</v>
      </c>
      <c r="H24" s="249">
        <v>300000000</v>
      </c>
      <c r="I24" s="249">
        <v>300000000</v>
      </c>
      <c r="J24" s="249">
        <v>300000000</v>
      </c>
      <c r="K24" s="249">
        <v>300000000</v>
      </c>
      <c r="L24" s="249">
        <v>300000000</v>
      </c>
      <c r="M24" s="249">
        <v>300000000</v>
      </c>
      <c r="N24" s="249">
        <v>300000000</v>
      </c>
      <c r="O24" s="249">
        <v>300000000</v>
      </c>
      <c r="P24" s="249">
        <v>300000000</v>
      </c>
      <c r="Q24" s="249">
        <v>300000000</v>
      </c>
      <c r="R24" s="140" t="e">
        <f t="shared" si="3"/>
        <v>#REF!</v>
      </c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6"/>
      <c r="AH24" s="16"/>
    </row>
    <row r="25" spans="1:128" ht="15.75" thickBot="1">
      <c r="A25" s="180" t="s">
        <v>292</v>
      </c>
      <c r="B25" s="181">
        <f t="shared" ref="B25:Q25" si="4">SUM(B19:B24)</f>
        <v>2016277159.3982646</v>
      </c>
      <c r="C25" s="250">
        <f t="shared" si="4"/>
        <v>373353000</v>
      </c>
      <c r="D25" s="250">
        <f t="shared" si="4"/>
        <v>350968000</v>
      </c>
      <c r="E25" s="250">
        <f t="shared" si="4"/>
        <v>309807000</v>
      </c>
      <c r="F25" s="251">
        <f t="shared" si="4"/>
        <v>300000000</v>
      </c>
      <c r="G25" s="251">
        <f t="shared" si="4"/>
        <v>300000000</v>
      </c>
      <c r="H25" s="251">
        <f t="shared" si="4"/>
        <v>300000000</v>
      </c>
      <c r="I25" s="251">
        <f t="shared" si="4"/>
        <v>300000000</v>
      </c>
      <c r="J25" s="251">
        <f t="shared" si="4"/>
        <v>300000000</v>
      </c>
      <c r="K25" s="251">
        <f t="shared" si="4"/>
        <v>300000000</v>
      </c>
      <c r="L25" s="251">
        <f t="shared" si="4"/>
        <v>300000000</v>
      </c>
      <c r="M25" s="286">
        <f t="shared" si="4"/>
        <v>300000000</v>
      </c>
      <c r="N25" s="286">
        <f t="shared" si="4"/>
        <v>300000000</v>
      </c>
      <c r="O25" s="286">
        <f t="shared" si="4"/>
        <v>300000000</v>
      </c>
      <c r="P25" s="286">
        <f t="shared" si="4"/>
        <v>300000000</v>
      </c>
      <c r="Q25" s="286">
        <f t="shared" si="4"/>
        <v>300000000</v>
      </c>
      <c r="R25" s="205" t="e">
        <f>SUM(R19:R24)</f>
        <v>#REF!</v>
      </c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16"/>
      <c r="AH25" s="16"/>
    </row>
    <row r="26" spans="1:128">
      <c r="A26" s="183" t="s">
        <v>298</v>
      </c>
      <c r="B26" s="182">
        <f>B25+(B25*10%)</f>
        <v>2217904875.3380909</v>
      </c>
      <c r="C26" s="137"/>
      <c r="D26" s="137"/>
      <c r="E26" s="137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</row>
    <row r="27" spans="1:128">
      <c r="O27" s="67"/>
    </row>
    <row r="28" spans="1:128">
      <c r="A28" s="184" t="s">
        <v>306</v>
      </c>
      <c r="B28" s="188">
        <f>NPV($B$8,C28:O28)</f>
        <v>952773.34158347116</v>
      </c>
      <c r="C28" s="188">
        <f>+B10*(1+0.03)</f>
        <v>138432</v>
      </c>
      <c r="D28" s="188">
        <f>+C28*(1+0.03)</f>
        <v>142584.95999999999</v>
      </c>
      <c r="E28" s="188">
        <f t="shared" ref="E28:AF28" si="5">+D28*(1+0.03)</f>
        <v>146862.50879999998</v>
      </c>
      <c r="F28" s="188">
        <f t="shared" si="5"/>
        <v>151268.38406399998</v>
      </c>
      <c r="G28" s="188">
        <f t="shared" si="5"/>
        <v>155806.43558592</v>
      </c>
      <c r="H28" s="188">
        <f t="shared" si="5"/>
        <v>160480.62865349761</v>
      </c>
      <c r="I28" s="188">
        <f t="shared" si="5"/>
        <v>165295.04751310253</v>
      </c>
      <c r="J28" s="188">
        <f t="shared" si="5"/>
        <v>170253.89893849561</v>
      </c>
      <c r="K28" s="188">
        <f t="shared" si="5"/>
        <v>175361.51590665049</v>
      </c>
      <c r="L28" s="188">
        <f t="shared" si="5"/>
        <v>180622.36138385002</v>
      </c>
      <c r="M28" s="188">
        <f t="shared" si="5"/>
        <v>186041.03222536552</v>
      </c>
      <c r="N28" s="188">
        <f t="shared" si="5"/>
        <v>191622.2631921265</v>
      </c>
      <c r="O28" s="188">
        <f t="shared" si="5"/>
        <v>197370.93108789029</v>
      </c>
      <c r="P28" s="188">
        <f t="shared" si="5"/>
        <v>203292.059020527</v>
      </c>
      <c r="Q28" s="188">
        <f t="shared" si="5"/>
        <v>209390.82079114282</v>
      </c>
      <c r="R28" s="188">
        <f t="shared" si="5"/>
        <v>215672.5454148771</v>
      </c>
      <c r="S28" s="188">
        <f t="shared" si="5"/>
        <v>222142.7217773234</v>
      </c>
      <c r="T28" s="188">
        <f t="shared" si="5"/>
        <v>228807.00343064312</v>
      </c>
      <c r="U28" s="188">
        <f t="shared" si="5"/>
        <v>235671.2135335624</v>
      </c>
      <c r="V28" s="188">
        <f t="shared" si="5"/>
        <v>242741.34993956928</v>
      </c>
      <c r="W28" s="188">
        <f t="shared" si="5"/>
        <v>250023.59043775636</v>
      </c>
      <c r="X28" s="188">
        <f t="shared" si="5"/>
        <v>257524.29815088905</v>
      </c>
      <c r="Y28" s="188">
        <f t="shared" si="5"/>
        <v>265250.02709541575</v>
      </c>
      <c r="Z28" s="188">
        <f t="shared" si="5"/>
        <v>273207.52790827822</v>
      </c>
      <c r="AA28" s="188">
        <f t="shared" si="5"/>
        <v>281403.7537455266</v>
      </c>
      <c r="AB28" s="188">
        <f t="shared" si="5"/>
        <v>289845.8663578924</v>
      </c>
      <c r="AC28" s="188">
        <f t="shared" si="5"/>
        <v>298541.24234862917</v>
      </c>
      <c r="AD28" s="188">
        <f t="shared" si="5"/>
        <v>307497.47961908806</v>
      </c>
      <c r="AE28" s="188">
        <f t="shared" si="5"/>
        <v>316722.40400766069</v>
      </c>
      <c r="AF28" s="188">
        <f t="shared" si="5"/>
        <v>326224.0761278905</v>
      </c>
    </row>
    <row r="29" spans="1:128">
      <c r="A29" s="184" t="s">
        <v>305</v>
      </c>
      <c r="B29" s="188">
        <f>NPV($B$8,C29:R29)</f>
        <v>777360.52887942968</v>
      </c>
      <c r="C29" s="187">
        <v>0</v>
      </c>
      <c r="D29" s="187">
        <v>0</v>
      </c>
      <c r="E29" s="186">
        <f>E28*97%</f>
        <v>142456.63353599998</v>
      </c>
      <c r="F29" s="186">
        <f t="shared" ref="F29:N29" si="6">F28*97%</f>
        <v>146730.33254207997</v>
      </c>
      <c r="G29" s="186">
        <f t="shared" si="6"/>
        <v>151132.24251834239</v>
      </c>
      <c r="H29" s="186">
        <f t="shared" si="6"/>
        <v>155666.20979389269</v>
      </c>
      <c r="I29" s="186">
        <f t="shared" si="6"/>
        <v>160336.19608770945</v>
      </c>
      <c r="J29" s="186">
        <f t="shared" si="6"/>
        <v>165146.28197034073</v>
      </c>
      <c r="K29" s="186">
        <f t="shared" si="6"/>
        <v>170100.67042945095</v>
      </c>
      <c r="L29" s="186">
        <f t="shared" si="6"/>
        <v>175203.69054233452</v>
      </c>
      <c r="M29" s="186">
        <f t="shared" si="6"/>
        <v>180459.80125860454</v>
      </c>
      <c r="N29" s="186">
        <f t="shared" si="6"/>
        <v>185873.59529636271</v>
      </c>
      <c r="O29" s="186">
        <f>O28*97%</f>
        <v>191449.80315525358</v>
      </c>
      <c r="P29" s="186">
        <f>P28*97%</f>
        <v>197193.29724991118</v>
      </c>
      <c r="Q29" s="186">
        <f>Q28*97%</f>
        <v>203109.09616740854</v>
      </c>
      <c r="R29" s="186">
        <f>R28*97%/2</f>
        <v>104601.18452621539</v>
      </c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</row>
    <row r="30" spans="1:128">
      <c r="A30" s="16"/>
      <c r="B30" s="32"/>
      <c r="C30" s="17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17"/>
      <c r="Q30" s="17"/>
      <c r="R30" s="17"/>
      <c r="S30" s="17"/>
      <c r="T30" s="17"/>
      <c r="U30" s="17"/>
      <c r="V30" s="17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128" s="190" customFormat="1">
      <c r="A31" s="191" t="s">
        <v>293</v>
      </c>
      <c r="B31" s="192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</row>
    <row r="32" spans="1:128" s="190" customFormat="1">
      <c r="A32" s="193" t="s">
        <v>294</v>
      </c>
      <c r="B32" s="192">
        <f>+B26</f>
        <v>2217904875.3380909</v>
      </c>
      <c r="C32" s="203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</row>
    <row r="33" spans="1:128" s="190" customFormat="1">
      <c r="A33" s="193" t="s">
        <v>299</v>
      </c>
      <c r="B33" s="192">
        <f>+B28</f>
        <v>952773.34158347116</v>
      </c>
      <c r="C33" s="203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</row>
    <row r="34" spans="1:128" s="190" customFormat="1">
      <c r="A34" s="193" t="s">
        <v>300</v>
      </c>
      <c r="B34" s="192">
        <f>+B29</f>
        <v>777360.52887942968</v>
      </c>
      <c r="C34" s="16"/>
      <c r="D34" s="203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</row>
    <row r="35" spans="1:128" s="190" customFormat="1">
      <c r="A35" s="193" t="s">
        <v>301</v>
      </c>
      <c r="B35" s="192">
        <f>+B25</f>
        <v>2016277159.3982646</v>
      </c>
      <c r="C35" s="203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</row>
    <row r="36" spans="1:128" s="190" customFormat="1">
      <c r="A36" s="193" t="s">
        <v>302</v>
      </c>
      <c r="B36" s="192">
        <f>+B32/B33*B34</f>
        <v>1809571733.0122602</v>
      </c>
      <c r="C36" s="203"/>
      <c r="D36" s="203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</row>
    <row r="37" spans="1:128" s="190" customFormat="1">
      <c r="A37" s="193" t="s">
        <v>303</v>
      </c>
      <c r="B37" s="192">
        <f>+B35-B36</f>
        <v>206705426.38600445</v>
      </c>
      <c r="C37" s="203"/>
      <c r="D37" s="137"/>
      <c r="E37" s="13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</row>
    <row r="38" spans="1:128" s="190" customFormat="1">
      <c r="A38" s="193" t="s">
        <v>355</v>
      </c>
      <c r="B38" s="193" t="e">
        <f>'CMI ACP'!#REF!/76.02913</f>
        <v>#REF!</v>
      </c>
      <c r="C38" s="16"/>
      <c r="D38" s="140"/>
      <c r="E38" s="203"/>
      <c r="F38" s="203"/>
      <c r="G38" s="203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</row>
    <row r="39" spans="1:128" s="190" customFormat="1">
      <c r="A39" s="193" t="s">
        <v>304</v>
      </c>
      <c r="B39" s="193">
        <f>((15*12)+6)/12</f>
        <v>15.5</v>
      </c>
      <c r="C39" s="16"/>
      <c r="D39" s="140"/>
      <c r="E39" s="203"/>
      <c r="F39" s="203"/>
      <c r="G39" s="203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</row>
    <row r="40" spans="1:128" s="190" customFormat="1">
      <c r="A40" s="193"/>
      <c r="B40" s="194" t="e">
        <f>+B37*(1+$B$8)^(B39)*B38</f>
        <v>#REF!</v>
      </c>
      <c r="C40" s="16"/>
      <c r="D40" s="16"/>
      <c r="E40" s="16"/>
      <c r="F40" s="16"/>
      <c r="G40" s="203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</row>
    <row r="41" spans="1:128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04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</row>
    <row r="42" spans="1:128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</row>
    <row r="43" spans="1:128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</row>
    <row r="45" spans="1:128" s="138" customFormat="1" ht="15.75">
      <c r="A45" s="201"/>
      <c r="B45" s="202" t="s">
        <v>208</v>
      </c>
      <c r="C45" s="201"/>
      <c r="D45" s="201"/>
      <c r="E45" s="201"/>
      <c r="F45" s="201"/>
      <c r="G45" s="201"/>
      <c r="H45" s="201"/>
      <c r="I45" s="201"/>
    </row>
    <row r="48" spans="1:128" ht="15.75" thickBot="1"/>
    <row r="49" spans="1:12">
      <c r="A49" s="381" t="s">
        <v>307</v>
      </c>
      <c r="B49" s="381" t="s">
        <v>209</v>
      </c>
      <c r="C49" s="381" t="s">
        <v>356</v>
      </c>
      <c r="D49" s="381" t="s">
        <v>309</v>
      </c>
      <c r="E49" s="381" t="s">
        <v>310</v>
      </c>
      <c r="F49" s="206" t="s">
        <v>311</v>
      </c>
    </row>
    <row r="50" spans="1:12" ht="15.75" thickBot="1">
      <c r="A50" s="382"/>
      <c r="B50" s="382"/>
      <c r="C50" s="382"/>
      <c r="D50" s="382"/>
      <c r="E50" s="382"/>
      <c r="F50" s="207" t="s">
        <v>357</v>
      </c>
    </row>
    <row r="51" spans="1:12" ht="15.75" thickBot="1">
      <c r="A51" s="208" t="s">
        <v>192</v>
      </c>
      <c r="B51" s="209" t="s">
        <v>210</v>
      </c>
      <c r="C51" s="210">
        <v>200000000000</v>
      </c>
      <c r="D51" s="212">
        <v>37956</v>
      </c>
      <c r="E51" s="213">
        <v>76.03</v>
      </c>
      <c r="F51" s="234" t="e">
        <f>C51*($B$57/E51)</f>
        <v>#REF!</v>
      </c>
    </row>
    <row r="52" spans="1:12" ht="15.75" thickBot="1">
      <c r="A52" s="208" t="s">
        <v>313</v>
      </c>
      <c r="B52" s="209" t="s">
        <v>314</v>
      </c>
      <c r="C52" s="210">
        <v>150000000000</v>
      </c>
      <c r="D52" s="212">
        <v>37956</v>
      </c>
      <c r="E52" s="213">
        <v>76.03</v>
      </c>
      <c r="F52" s="234" t="e">
        <f t="shared" ref="F52:F54" si="7">C52*($B$57/E52)</f>
        <v>#REF!</v>
      </c>
    </row>
    <row r="53" spans="1:12" ht="15.75" thickBot="1">
      <c r="A53" s="208" t="s">
        <v>193</v>
      </c>
      <c r="B53" s="209" t="s">
        <v>210</v>
      </c>
      <c r="C53" s="210">
        <v>8000000000</v>
      </c>
      <c r="D53" s="212">
        <v>37956</v>
      </c>
      <c r="E53" s="213">
        <v>76.03</v>
      </c>
      <c r="F53" s="234" t="e">
        <f t="shared" si="7"/>
        <v>#REF!</v>
      </c>
    </row>
    <row r="54" spans="1:12" ht="15.75" thickBot="1">
      <c r="A54" s="208" t="s">
        <v>313</v>
      </c>
      <c r="B54" s="209" t="s">
        <v>210</v>
      </c>
      <c r="C54" s="210">
        <v>12000000000</v>
      </c>
      <c r="D54" s="212">
        <v>41791</v>
      </c>
      <c r="E54" s="213">
        <v>116.91</v>
      </c>
      <c r="F54" s="234" t="e">
        <f t="shared" si="7"/>
        <v>#REF!</v>
      </c>
    </row>
    <row r="55" spans="1:12" ht="15.75" thickBot="1">
      <c r="A55" s="214" t="s">
        <v>315</v>
      </c>
      <c r="B55" s="215"/>
      <c r="C55" s="216">
        <f>SUM(C51:C54)</f>
        <v>370000000000</v>
      </c>
      <c r="D55" s="217"/>
      <c r="E55" s="217"/>
      <c r="F55" s="237" t="e">
        <f>SUM(F51:F54)</f>
        <v>#REF!</v>
      </c>
    </row>
    <row r="56" spans="1:12" ht="15.75" thickBot="1"/>
    <row r="57" spans="1:12" ht="15.75" thickBot="1">
      <c r="A57" s="218" t="s">
        <v>348</v>
      </c>
      <c r="B57" s="287" t="e">
        <f>+'CMI ACP'!#REF!</f>
        <v>#REF!</v>
      </c>
    </row>
    <row r="61" spans="1:12" s="138" customFormat="1" ht="15.75">
      <c r="A61" s="201"/>
      <c r="B61" s="202" t="s">
        <v>322</v>
      </c>
      <c r="C61" s="201"/>
      <c r="D61" s="201"/>
      <c r="E61" s="201"/>
      <c r="F61" s="201"/>
      <c r="G61" s="201"/>
      <c r="H61" s="201"/>
      <c r="I61" s="201"/>
    </row>
    <row r="64" spans="1:12" ht="15.75" thickBot="1">
      <c r="C64" s="230">
        <v>43983</v>
      </c>
      <c r="D64" s="230">
        <v>44348</v>
      </c>
      <c r="E64" s="230">
        <v>44713</v>
      </c>
      <c r="F64" s="230">
        <v>45078</v>
      </c>
      <c r="G64" s="230">
        <v>45444</v>
      </c>
      <c r="H64" s="230">
        <v>45809</v>
      </c>
      <c r="I64" s="230">
        <v>46174</v>
      </c>
      <c r="J64" s="230">
        <v>46539</v>
      </c>
      <c r="K64" s="230">
        <v>46905</v>
      </c>
      <c r="L64" s="230">
        <v>47270</v>
      </c>
    </row>
    <row r="65" spans="1:12" ht="15.75" thickBot="1">
      <c r="A65" s="220" t="s">
        <v>211</v>
      </c>
      <c r="B65" s="221" t="s">
        <v>317</v>
      </c>
      <c r="C65" s="221" t="s">
        <v>195</v>
      </c>
      <c r="D65" s="221" t="s">
        <v>196</v>
      </c>
      <c r="E65" s="221" t="s">
        <v>197</v>
      </c>
      <c r="F65" s="221" t="s">
        <v>198</v>
      </c>
      <c r="G65" s="221" t="s">
        <v>199</v>
      </c>
      <c r="H65" s="221" t="s">
        <v>200</v>
      </c>
      <c r="I65" s="221" t="s">
        <v>201</v>
      </c>
      <c r="J65" s="221" t="s">
        <v>202</v>
      </c>
      <c r="K65" s="221" t="s">
        <v>203</v>
      </c>
      <c r="L65" s="221" t="s">
        <v>204</v>
      </c>
    </row>
    <row r="66" spans="1:12">
      <c r="A66" s="222" t="s">
        <v>318</v>
      </c>
      <c r="B66" s="253">
        <f>SUM(C66:L66)</f>
        <v>58000000000</v>
      </c>
      <c r="C66" s="254">
        <v>0</v>
      </c>
      <c r="D66" s="253">
        <v>58000000000</v>
      </c>
      <c r="E66" s="254">
        <v>0</v>
      </c>
      <c r="F66" s="254">
        <v>0</v>
      </c>
      <c r="G66" s="254">
        <v>0</v>
      </c>
      <c r="H66" s="254">
        <v>0</v>
      </c>
      <c r="I66" s="254">
        <v>0</v>
      </c>
      <c r="J66" s="254">
        <v>0</v>
      </c>
      <c r="K66" s="254">
        <v>0</v>
      </c>
      <c r="L66" s="254">
        <v>0</v>
      </c>
    </row>
    <row r="67" spans="1:12">
      <c r="A67" s="222" t="s">
        <v>319</v>
      </c>
      <c r="B67" s="253">
        <f t="shared" ref="B67:B69" si="8">SUM(C67:L67)</f>
        <v>100000000000</v>
      </c>
      <c r="C67" s="254">
        <v>0</v>
      </c>
      <c r="D67" s="254">
        <v>0</v>
      </c>
      <c r="E67" s="253">
        <v>100000000000</v>
      </c>
      <c r="F67" s="254">
        <v>0</v>
      </c>
      <c r="G67" s="254">
        <v>0</v>
      </c>
      <c r="H67" s="254">
        <v>0</v>
      </c>
      <c r="I67" s="254">
        <v>0</v>
      </c>
      <c r="J67" s="254">
        <v>0</v>
      </c>
      <c r="K67" s="254">
        <v>0</v>
      </c>
      <c r="L67" s="254">
        <v>0</v>
      </c>
    </row>
    <row r="68" spans="1:12">
      <c r="A68" s="222" t="s">
        <v>320</v>
      </c>
      <c r="B68" s="253">
        <f t="shared" si="8"/>
        <v>2500000000</v>
      </c>
      <c r="C68" s="254">
        <v>0</v>
      </c>
      <c r="D68" s="254">
        <v>0</v>
      </c>
      <c r="E68" s="254">
        <v>0</v>
      </c>
      <c r="F68" s="254">
        <v>0</v>
      </c>
      <c r="G68" s="253">
        <v>2500000000</v>
      </c>
      <c r="H68" s="255">
        <v>0</v>
      </c>
      <c r="I68" s="255">
        <v>0</v>
      </c>
      <c r="J68" s="255">
        <v>0</v>
      </c>
      <c r="K68" s="255">
        <v>0</v>
      </c>
      <c r="L68" s="255">
        <v>0</v>
      </c>
    </row>
    <row r="69" spans="1:12" ht="15.75" thickBot="1">
      <c r="A69" s="222" t="s">
        <v>321</v>
      </c>
      <c r="B69" s="253">
        <f t="shared" si="8"/>
        <v>10000000000</v>
      </c>
      <c r="C69" s="254">
        <v>0</v>
      </c>
      <c r="D69" s="235">
        <v>0</v>
      </c>
      <c r="E69" s="235">
        <v>0</v>
      </c>
      <c r="F69" s="235">
        <v>0</v>
      </c>
      <c r="G69" s="234">
        <v>10000000000</v>
      </c>
      <c r="H69" s="255">
        <v>0</v>
      </c>
      <c r="I69" s="255">
        <v>0</v>
      </c>
      <c r="J69" s="255">
        <v>0</v>
      </c>
      <c r="K69" s="255">
        <v>0</v>
      </c>
      <c r="L69" s="255">
        <v>0</v>
      </c>
    </row>
    <row r="70" spans="1:12" ht="15.75" thickBot="1">
      <c r="A70" s="223" t="s">
        <v>212</v>
      </c>
      <c r="B70" s="256">
        <f>SUM(B66:B69)</f>
        <v>170500000000</v>
      </c>
      <c r="C70" s="256">
        <f>SUM(C66:C69)</f>
        <v>0</v>
      </c>
      <c r="D70" s="256">
        <f t="shared" ref="D70:L70" si="9">SUM(D66:D69)</f>
        <v>58000000000</v>
      </c>
      <c r="E70" s="256">
        <f t="shared" si="9"/>
        <v>100000000000</v>
      </c>
      <c r="F70" s="256">
        <f t="shared" si="9"/>
        <v>0</v>
      </c>
      <c r="G70" s="256">
        <f t="shared" si="9"/>
        <v>12500000000</v>
      </c>
      <c r="H70" s="256">
        <f t="shared" si="9"/>
        <v>0</v>
      </c>
      <c r="I70" s="257">
        <f t="shared" si="9"/>
        <v>0</v>
      </c>
      <c r="J70" s="257">
        <f t="shared" si="9"/>
        <v>0</v>
      </c>
      <c r="K70" s="257">
        <f t="shared" si="9"/>
        <v>0</v>
      </c>
      <c r="L70" s="257">
        <f t="shared" si="9"/>
        <v>0</v>
      </c>
    </row>
    <row r="74" spans="1:12" s="138" customFormat="1" ht="15.75">
      <c r="A74" s="201"/>
      <c r="B74" s="202" t="s">
        <v>327</v>
      </c>
      <c r="C74" s="201"/>
      <c r="D74" s="201"/>
      <c r="E74" s="201"/>
      <c r="F74" s="201"/>
      <c r="G74" s="201"/>
      <c r="H74" s="201"/>
      <c r="I74" s="201"/>
    </row>
    <row r="77" spans="1:12" ht="15.75" thickBot="1">
      <c r="E77" s="211"/>
    </row>
    <row r="78" spans="1:12">
      <c r="A78" s="371" t="s">
        <v>206</v>
      </c>
      <c r="B78" s="371" t="s">
        <v>191</v>
      </c>
      <c r="C78" s="377"/>
      <c r="D78" s="371" t="s">
        <v>323</v>
      </c>
      <c r="E78" s="371" t="s">
        <v>324</v>
      </c>
      <c r="F78" s="371" t="s">
        <v>325</v>
      </c>
      <c r="G78" s="379"/>
      <c r="H78" s="369" t="s">
        <v>326</v>
      </c>
    </row>
    <row r="79" spans="1:12">
      <c r="A79" s="372"/>
      <c r="B79" s="372"/>
      <c r="C79" s="378"/>
      <c r="D79" s="372"/>
      <c r="E79" s="372"/>
      <c r="F79" s="372"/>
      <c r="G79" s="380"/>
      <c r="H79" s="370"/>
    </row>
    <row r="80" spans="1:12">
      <c r="A80" s="225" t="s">
        <v>207</v>
      </c>
      <c r="B80" s="225" t="s">
        <v>213</v>
      </c>
      <c r="C80" s="258" t="e">
        <f>+R19</f>
        <v>#REF!</v>
      </c>
      <c r="D80" s="259">
        <v>33</v>
      </c>
      <c r="E80" s="260">
        <v>38322</v>
      </c>
      <c r="F80" s="259">
        <v>13.5</v>
      </c>
      <c r="G80" s="259">
        <f>D80-F80</f>
        <v>19.5</v>
      </c>
      <c r="H80" s="258" t="e">
        <f>C80/G80</f>
        <v>#REF!</v>
      </c>
    </row>
    <row r="81" spans="1:8">
      <c r="A81" s="225" t="s">
        <v>207</v>
      </c>
      <c r="B81" s="225" t="s">
        <v>214</v>
      </c>
      <c r="C81" s="258" t="e">
        <f t="shared" ref="C81:C85" si="10">+R20</f>
        <v>#REF!</v>
      </c>
      <c r="D81" s="259">
        <v>45</v>
      </c>
      <c r="E81" s="260">
        <v>38322</v>
      </c>
      <c r="F81" s="259">
        <v>13.5</v>
      </c>
      <c r="G81" s="259">
        <f>D81-F81</f>
        <v>31.5</v>
      </c>
      <c r="H81" s="258" t="e">
        <f t="shared" ref="H81:H93" si="11">C81/G81</f>
        <v>#REF!</v>
      </c>
    </row>
    <row r="82" spans="1:8">
      <c r="A82" s="225" t="s">
        <v>207</v>
      </c>
      <c r="B82" s="225" t="s">
        <v>215</v>
      </c>
      <c r="C82" s="258" t="e">
        <f t="shared" si="10"/>
        <v>#REF!</v>
      </c>
      <c r="D82" s="259">
        <v>40</v>
      </c>
      <c r="E82" s="260">
        <v>38322</v>
      </c>
      <c r="F82" s="259">
        <v>13.5</v>
      </c>
      <c r="G82" s="259">
        <f t="shared" ref="G82:G93" si="12">D82-F82</f>
        <v>26.5</v>
      </c>
      <c r="H82" s="258" t="e">
        <f t="shared" si="11"/>
        <v>#REF!</v>
      </c>
    </row>
    <row r="83" spans="1:8">
      <c r="A83" s="225" t="s">
        <v>207</v>
      </c>
      <c r="B83" s="225" t="s">
        <v>216</v>
      </c>
      <c r="C83" s="258" t="e">
        <f t="shared" si="10"/>
        <v>#REF!</v>
      </c>
      <c r="D83" s="259">
        <v>25</v>
      </c>
      <c r="E83" s="260">
        <v>38687</v>
      </c>
      <c r="F83" s="259">
        <v>12.5</v>
      </c>
      <c r="G83" s="259">
        <f t="shared" si="12"/>
        <v>12.5</v>
      </c>
      <c r="H83" s="258" t="e">
        <f t="shared" si="11"/>
        <v>#REF!</v>
      </c>
    </row>
    <row r="84" spans="1:8">
      <c r="A84" s="225" t="s">
        <v>207</v>
      </c>
      <c r="B84" s="225" t="s">
        <v>217</v>
      </c>
      <c r="C84" s="258" t="e">
        <f t="shared" si="10"/>
        <v>#REF!</v>
      </c>
      <c r="D84" s="259">
        <v>45</v>
      </c>
      <c r="E84" s="260">
        <v>38412</v>
      </c>
      <c r="F84" s="259">
        <v>12.3</v>
      </c>
      <c r="G84" s="259">
        <f t="shared" si="12"/>
        <v>32.700000000000003</v>
      </c>
      <c r="H84" s="258" t="e">
        <f t="shared" si="11"/>
        <v>#REF!</v>
      </c>
    </row>
    <row r="85" spans="1:8">
      <c r="A85" s="225" t="s">
        <v>207</v>
      </c>
      <c r="B85" s="225" t="s">
        <v>218</v>
      </c>
      <c r="C85" s="258" t="e">
        <f t="shared" si="10"/>
        <v>#REF!</v>
      </c>
      <c r="D85" s="259">
        <v>45</v>
      </c>
      <c r="E85" s="260">
        <v>38687</v>
      </c>
      <c r="F85" s="259">
        <v>12.5</v>
      </c>
      <c r="G85" s="259">
        <f t="shared" si="12"/>
        <v>32.5</v>
      </c>
      <c r="H85" s="258" t="e">
        <f t="shared" si="11"/>
        <v>#REF!</v>
      </c>
    </row>
    <row r="86" spans="1:8">
      <c r="A86" s="225" t="s">
        <v>328</v>
      </c>
      <c r="B86" s="226" t="s">
        <v>192</v>
      </c>
      <c r="C86" s="261" t="e">
        <f>+F51</f>
        <v>#REF!</v>
      </c>
      <c r="D86" s="259">
        <v>40</v>
      </c>
      <c r="E86" s="260">
        <v>37591</v>
      </c>
      <c r="F86" s="259">
        <v>15.5</v>
      </c>
      <c r="G86" s="259">
        <f t="shared" si="12"/>
        <v>24.5</v>
      </c>
      <c r="H86" s="258" t="e">
        <f t="shared" si="11"/>
        <v>#REF!</v>
      </c>
    </row>
    <row r="87" spans="1:8">
      <c r="A87" s="225" t="s">
        <v>328</v>
      </c>
      <c r="B87" s="226" t="s">
        <v>313</v>
      </c>
      <c r="C87" s="261" t="e">
        <f t="shared" ref="C87:C89" si="13">+F52</f>
        <v>#REF!</v>
      </c>
      <c r="D87" s="259">
        <v>45</v>
      </c>
      <c r="E87" s="260">
        <v>37591</v>
      </c>
      <c r="F87" s="259">
        <v>15.5</v>
      </c>
      <c r="G87" s="259">
        <f t="shared" si="12"/>
        <v>29.5</v>
      </c>
      <c r="H87" s="258" t="e">
        <f t="shared" si="11"/>
        <v>#REF!</v>
      </c>
    </row>
    <row r="88" spans="1:8">
      <c r="A88" s="225" t="s">
        <v>328</v>
      </c>
      <c r="B88" s="226" t="s">
        <v>193</v>
      </c>
      <c r="C88" s="261" t="e">
        <f t="shared" si="13"/>
        <v>#REF!</v>
      </c>
      <c r="D88" s="259">
        <v>0</v>
      </c>
      <c r="E88" s="260"/>
      <c r="F88" s="259">
        <v>0</v>
      </c>
      <c r="G88" s="259">
        <v>0</v>
      </c>
      <c r="H88" s="258">
        <v>0</v>
      </c>
    </row>
    <row r="89" spans="1:8">
      <c r="A89" s="225" t="s">
        <v>328</v>
      </c>
      <c r="B89" s="226" t="s">
        <v>313</v>
      </c>
      <c r="C89" s="261" t="e">
        <f t="shared" si="13"/>
        <v>#REF!</v>
      </c>
      <c r="D89" s="259">
        <v>45</v>
      </c>
      <c r="E89" s="260">
        <v>41974</v>
      </c>
      <c r="F89" s="259">
        <v>3.5</v>
      </c>
      <c r="G89" s="259">
        <f t="shared" si="12"/>
        <v>41.5</v>
      </c>
      <c r="H89" s="258" t="e">
        <f t="shared" si="11"/>
        <v>#REF!</v>
      </c>
    </row>
    <row r="90" spans="1:8">
      <c r="A90" s="225" t="s">
        <v>329</v>
      </c>
      <c r="B90" s="226" t="s">
        <v>318</v>
      </c>
      <c r="C90" s="261">
        <f>+B66</f>
        <v>58000000000</v>
      </c>
      <c r="D90" s="259">
        <v>40</v>
      </c>
      <c r="E90" s="260">
        <v>44531</v>
      </c>
      <c r="F90" s="259">
        <v>0</v>
      </c>
      <c r="G90" s="259">
        <f t="shared" si="12"/>
        <v>40</v>
      </c>
      <c r="H90" s="258">
        <f t="shared" si="11"/>
        <v>1450000000</v>
      </c>
    </row>
    <row r="91" spans="1:8">
      <c r="A91" s="225" t="s">
        <v>329</v>
      </c>
      <c r="B91" s="226" t="s">
        <v>319</v>
      </c>
      <c r="C91" s="261">
        <f t="shared" ref="C91:C93" si="14">+B67</f>
        <v>100000000000</v>
      </c>
      <c r="D91" s="259">
        <v>45</v>
      </c>
      <c r="E91" s="260">
        <v>44896</v>
      </c>
      <c r="F91" s="259">
        <v>0</v>
      </c>
      <c r="G91" s="259">
        <f t="shared" si="12"/>
        <v>45</v>
      </c>
      <c r="H91" s="258">
        <f t="shared" si="11"/>
        <v>2222222222.2222223</v>
      </c>
    </row>
    <row r="92" spans="1:8">
      <c r="A92" s="225" t="s">
        <v>329</v>
      </c>
      <c r="B92" s="226" t="s">
        <v>320</v>
      </c>
      <c r="C92" s="261">
        <f t="shared" si="14"/>
        <v>2500000000</v>
      </c>
      <c r="D92" s="259">
        <v>45</v>
      </c>
      <c r="E92" s="260">
        <v>45627</v>
      </c>
      <c r="F92" s="259">
        <v>0</v>
      </c>
      <c r="G92" s="259">
        <f t="shared" si="12"/>
        <v>45</v>
      </c>
      <c r="H92" s="258">
        <f t="shared" si="11"/>
        <v>55555555.555555552</v>
      </c>
    </row>
    <row r="93" spans="1:8">
      <c r="A93" s="225" t="s">
        <v>329</v>
      </c>
      <c r="B93" s="226" t="s">
        <v>321</v>
      </c>
      <c r="C93" s="261">
        <f t="shared" si="14"/>
        <v>10000000000</v>
      </c>
      <c r="D93" s="259">
        <v>45</v>
      </c>
      <c r="E93" s="260">
        <v>45627</v>
      </c>
      <c r="F93" s="259">
        <v>0</v>
      </c>
      <c r="G93" s="259">
        <f t="shared" si="12"/>
        <v>45</v>
      </c>
      <c r="H93" s="258">
        <f t="shared" si="11"/>
        <v>222222222.22222221</v>
      </c>
    </row>
    <row r="95" spans="1:8" ht="15.75" thickBot="1"/>
    <row r="96" spans="1:8" ht="15.75" thickBot="1">
      <c r="A96" s="227" t="s">
        <v>372</v>
      </c>
    </row>
    <row r="98" spans="1:11" ht="15.75" thickBot="1">
      <c r="B98" s="230">
        <v>43983</v>
      </c>
      <c r="C98" s="230">
        <v>44348</v>
      </c>
      <c r="D98" s="230">
        <v>44713</v>
      </c>
      <c r="E98" s="230">
        <v>45078</v>
      </c>
      <c r="F98" s="230">
        <v>45444</v>
      </c>
      <c r="G98" s="230">
        <v>45809</v>
      </c>
      <c r="H98" s="230">
        <v>46174</v>
      </c>
      <c r="I98" s="230">
        <v>46539</v>
      </c>
      <c r="J98" s="230">
        <v>46905</v>
      </c>
      <c r="K98" s="230">
        <v>47270</v>
      </c>
    </row>
    <row r="99" spans="1:11" ht="15.75" thickBot="1">
      <c r="A99" s="227" t="s">
        <v>191</v>
      </c>
      <c r="B99" s="228" t="s">
        <v>219</v>
      </c>
      <c r="C99" s="228" t="s">
        <v>220</v>
      </c>
      <c r="D99" s="228" t="s">
        <v>221</v>
      </c>
      <c r="E99" s="228" t="s">
        <v>222</v>
      </c>
      <c r="F99" s="228" t="s">
        <v>223</v>
      </c>
      <c r="G99" s="228" t="s">
        <v>224</v>
      </c>
      <c r="H99" s="228" t="s">
        <v>225</v>
      </c>
      <c r="I99" s="228" t="s">
        <v>226</v>
      </c>
      <c r="J99" s="228" t="s">
        <v>227</v>
      </c>
      <c r="K99" s="228" t="s">
        <v>228</v>
      </c>
    </row>
    <row r="100" spans="1:11" ht="15.75" thickBot="1">
      <c r="A100" s="225" t="s">
        <v>213</v>
      </c>
      <c r="B100" s="234" t="e">
        <f t="shared" ref="B100:B107" si="15">+H80</f>
        <v>#REF!</v>
      </c>
      <c r="C100" s="234" t="e">
        <f t="shared" ref="C100:C108" si="16">+B100</f>
        <v>#REF!</v>
      </c>
      <c r="D100" s="234" t="e">
        <f t="shared" ref="D100:K112" si="17">+C100</f>
        <v>#REF!</v>
      </c>
      <c r="E100" s="234" t="e">
        <f t="shared" si="17"/>
        <v>#REF!</v>
      </c>
      <c r="F100" s="234" t="e">
        <f t="shared" si="17"/>
        <v>#REF!</v>
      </c>
      <c r="G100" s="234" t="e">
        <f t="shared" si="17"/>
        <v>#REF!</v>
      </c>
      <c r="H100" s="234" t="e">
        <f t="shared" si="17"/>
        <v>#REF!</v>
      </c>
      <c r="I100" s="234" t="e">
        <f t="shared" si="17"/>
        <v>#REF!</v>
      </c>
      <c r="J100" s="234" t="e">
        <f t="shared" si="17"/>
        <v>#REF!</v>
      </c>
      <c r="K100" s="234" t="e">
        <f t="shared" si="17"/>
        <v>#REF!</v>
      </c>
    </row>
    <row r="101" spans="1:11" ht="15.75" thickBot="1">
      <c r="A101" s="225" t="s">
        <v>214</v>
      </c>
      <c r="B101" s="262" t="e">
        <f t="shared" si="15"/>
        <v>#REF!</v>
      </c>
      <c r="C101" s="262" t="e">
        <f t="shared" si="16"/>
        <v>#REF!</v>
      </c>
      <c r="D101" s="262" t="e">
        <f t="shared" si="17"/>
        <v>#REF!</v>
      </c>
      <c r="E101" s="262" t="e">
        <f t="shared" si="17"/>
        <v>#REF!</v>
      </c>
      <c r="F101" s="262" t="e">
        <f t="shared" si="17"/>
        <v>#REF!</v>
      </c>
      <c r="G101" s="262" t="e">
        <f t="shared" si="17"/>
        <v>#REF!</v>
      </c>
      <c r="H101" s="262" t="e">
        <f t="shared" si="17"/>
        <v>#REF!</v>
      </c>
      <c r="I101" s="262" t="e">
        <f t="shared" si="17"/>
        <v>#REF!</v>
      </c>
      <c r="J101" s="262" t="e">
        <f t="shared" si="17"/>
        <v>#REF!</v>
      </c>
      <c r="K101" s="262" t="e">
        <f t="shared" si="17"/>
        <v>#REF!</v>
      </c>
    </row>
    <row r="102" spans="1:11" ht="15.75" thickBot="1">
      <c r="A102" s="225" t="s">
        <v>215</v>
      </c>
      <c r="B102" s="262" t="e">
        <f t="shared" si="15"/>
        <v>#REF!</v>
      </c>
      <c r="C102" s="262" t="e">
        <f t="shared" si="16"/>
        <v>#REF!</v>
      </c>
      <c r="D102" s="262" t="e">
        <f t="shared" si="17"/>
        <v>#REF!</v>
      </c>
      <c r="E102" s="262" t="e">
        <f t="shared" si="17"/>
        <v>#REF!</v>
      </c>
      <c r="F102" s="262" t="e">
        <f t="shared" si="17"/>
        <v>#REF!</v>
      </c>
      <c r="G102" s="262" t="e">
        <f t="shared" si="17"/>
        <v>#REF!</v>
      </c>
      <c r="H102" s="262" t="e">
        <f t="shared" si="17"/>
        <v>#REF!</v>
      </c>
      <c r="I102" s="262" t="e">
        <f t="shared" si="17"/>
        <v>#REF!</v>
      </c>
      <c r="J102" s="262" t="e">
        <f t="shared" si="17"/>
        <v>#REF!</v>
      </c>
      <c r="K102" s="262" t="e">
        <f t="shared" si="17"/>
        <v>#REF!</v>
      </c>
    </row>
    <row r="103" spans="1:11" ht="15.75" thickBot="1">
      <c r="A103" s="225" t="s">
        <v>216</v>
      </c>
      <c r="B103" s="262" t="e">
        <f t="shared" si="15"/>
        <v>#REF!</v>
      </c>
      <c r="C103" s="262" t="e">
        <f t="shared" si="16"/>
        <v>#REF!</v>
      </c>
      <c r="D103" s="262" t="e">
        <f t="shared" si="17"/>
        <v>#REF!</v>
      </c>
      <c r="E103" s="262" t="e">
        <f t="shared" si="17"/>
        <v>#REF!</v>
      </c>
      <c r="F103" s="262" t="e">
        <f t="shared" si="17"/>
        <v>#REF!</v>
      </c>
      <c r="G103" s="262" t="e">
        <f t="shared" si="17"/>
        <v>#REF!</v>
      </c>
      <c r="H103" s="262" t="e">
        <f t="shared" si="17"/>
        <v>#REF!</v>
      </c>
      <c r="I103" s="262" t="e">
        <f t="shared" si="17"/>
        <v>#REF!</v>
      </c>
      <c r="J103" s="262" t="e">
        <f t="shared" si="17"/>
        <v>#REF!</v>
      </c>
      <c r="K103" s="262" t="e">
        <f t="shared" si="17"/>
        <v>#REF!</v>
      </c>
    </row>
    <row r="104" spans="1:11" ht="15.75" thickBot="1">
      <c r="A104" s="225" t="s">
        <v>217</v>
      </c>
      <c r="B104" s="262" t="e">
        <f t="shared" si="15"/>
        <v>#REF!</v>
      </c>
      <c r="C104" s="262" t="e">
        <f t="shared" si="16"/>
        <v>#REF!</v>
      </c>
      <c r="D104" s="262" t="e">
        <f t="shared" si="17"/>
        <v>#REF!</v>
      </c>
      <c r="E104" s="262" t="e">
        <f t="shared" si="17"/>
        <v>#REF!</v>
      </c>
      <c r="F104" s="262" t="e">
        <f t="shared" si="17"/>
        <v>#REF!</v>
      </c>
      <c r="G104" s="262" t="e">
        <f t="shared" si="17"/>
        <v>#REF!</v>
      </c>
      <c r="H104" s="262" t="e">
        <f t="shared" si="17"/>
        <v>#REF!</v>
      </c>
      <c r="I104" s="262" t="e">
        <f t="shared" si="17"/>
        <v>#REF!</v>
      </c>
      <c r="J104" s="262" t="e">
        <f t="shared" si="17"/>
        <v>#REF!</v>
      </c>
      <c r="K104" s="262" t="e">
        <f t="shared" si="17"/>
        <v>#REF!</v>
      </c>
    </row>
    <row r="105" spans="1:11" ht="15.75" thickBot="1">
      <c r="A105" s="225" t="s">
        <v>218</v>
      </c>
      <c r="B105" s="262" t="e">
        <f t="shared" si="15"/>
        <v>#REF!</v>
      </c>
      <c r="C105" s="262" t="e">
        <f t="shared" si="16"/>
        <v>#REF!</v>
      </c>
      <c r="D105" s="262" t="e">
        <f t="shared" si="17"/>
        <v>#REF!</v>
      </c>
      <c r="E105" s="262" t="e">
        <f t="shared" si="17"/>
        <v>#REF!</v>
      </c>
      <c r="F105" s="262" t="e">
        <f t="shared" si="17"/>
        <v>#REF!</v>
      </c>
      <c r="G105" s="262" t="e">
        <f t="shared" si="17"/>
        <v>#REF!</v>
      </c>
      <c r="H105" s="262" t="e">
        <f t="shared" si="17"/>
        <v>#REF!</v>
      </c>
      <c r="I105" s="262" t="e">
        <f t="shared" si="17"/>
        <v>#REF!</v>
      </c>
      <c r="J105" s="262" t="e">
        <f t="shared" si="17"/>
        <v>#REF!</v>
      </c>
      <c r="K105" s="262" t="e">
        <f t="shared" si="17"/>
        <v>#REF!</v>
      </c>
    </row>
    <row r="106" spans="1:11" ht="15.75" thickBot="1">
      <c r="A106" s="226" t="s">
        <v>192</v>
      </c>
      <c r="B106" s="262" t="e">
        <f t="shared" si="15"/>
        <v>#REF!</v>
      </c>
      <c r="C106" s="262" t="e">
        <f t="shared" si="16"/>
        <v>#REF!</v>
      </c>
      <c r="D106" s="262" t="e">
        <f t="shared" si="17"/>
        <v>#REF!</v>
      </c>
      <c r="E106" s="262" t="e">
        <f t="shared" si="17"/>
        <v>#REF!</v>
      </c>
      <c r="F106" s="262" t="e">
        <f t="shared" si="17"/>
        <v>#REF!</v>
      </c>
      <c r="G106" s="262" t="e">
        <f t="shared" si="17"/>
        <v>#REF!</v>
      </c>
      <c r="H106" s="262" t="e">
        <f t="shared" si="17"/>
        <v>#REF!</v>
      </c>
      <c r="I106" s="262" t="e">
        <f t="shared" si="17"/>
        <v>#REF!</v>
      </c>
      <c r="J106" s="262" t="e">
        <f t="shared" si="17"/>
        <v>#REF!</v>
      </c>
      <c r="K106" s="262" t="e">
        <f t="shared" si="17"/>
        <v>#REF!</v>
      </c>
    </row>
    <row r="107" spans="1:11" ht="15.75" thickBot="1">
      <c r="A107" s="226" t="s">
        <v>313</v>
      </c>
      <c r="B107" s="234" t="e">
        <f t="shared" si="15"/>
        <v>#REF!</v>
      </c>
      <c r="C107" s="234" t="e">
        <f t="shared" si="16"/>
        <v>#REF!</v>
      </c>
      <c r="D107" s="234" t="e">
        <f t="shared" si="17"/>
        <v>#REF!</v>
      </c>
      <c r="E107" s="234" t="e">
        <f t="shared" si="17"/>
        <v>#REF!</v>
      </c>
      <c r="F107" s="234" t="e">
        <f t="shared" si="17"/>
        <v>#REF!</v>
      </c>
      <c r="G107" s="234" t="e">
        <f t="shared" si="17"/>
        <v>#REF!</v>
      </c>
      <c r="H107" s="234" t="e">
        <f t="shared" si="17"/>
        <v>#REF!</v>
      </c>
      <c r="I107" s="234" t="e">
        <f t="shared" si="17"/>
        <v>#REF!</v>
      </c>
      <c r="J107" s="234" t="e">
        <f t="shared" si="17"/>
        <v>#REF!</v>
      </c>
      <c r="K107" s="234" t="e">
        <f t="shared" si="17"/>
        <v>#REF!</v>
      </c>
    </row>
    <row r="108" spans="1:11" ht="15.75" thickBot="1">
      <c r="A108" s="226" t="s">
        <v>313</v>
      </c>
      <c r="B108" s="234" t="e">
        <f>+H89</f>
        <v>#REF!</v>
      </c>
      <c r="C108" s="234" t="e">
        <f t="shared" si="16"/>
        <v>#REF!</v>
      </c>
      <c r="D108" s="234" t="e">
        <f t="shared" si="17"/>
        <v>#REF!</v>
      </c>
      <c r="E108" s="234" t="e">
        <f t="shared" si="17"/>
        <v>#REF!</v>
      </c>
      <c r="F108" s="234" t="e">
        <f t="shared" si="17"/>
        <v>#REF!</v>
      </c>
      <c r="G108" s="234" t="e">
        <f t="shared" si="17"/>
        <v>#REF!</v>
      </c>
      <c r="H108" s="234" t="e">
        <f t="shared" si="17"/>
        <v>#REF!</v>
      </c>
      <c r="I108" s="234" t="e">
        <f t="shared" si="17"/>
        <v>#REF!</v>
      </c>
      <c r="J108" s="234" t="e">
        <f t="shared" si="17"/>
        <v>#REF!</v>
      </c>
      <c r="K108" s="234" t="e">
        <f t="shared" si="17"/>
        <v>#REF!</v>
      </c>
    </row>
    <row r="109" spans="1:11" ht="15.75" thickBot="1">
      <c r="A109" s="226" t="s">
        <v>318</v>
      </c>
      <c r="B109" s="262"/>
      <c r="C109" s="262"/>
      <c r="D109" s="262">
        <f>+H90</f>
        <v>1450000000</v>
      </c>
      <c r="E109" s="262">
        <f t="shared" si="17"/>
        <v>1450000000</v>
      </c>
      <c r="F109" s="262">
        <f t="shared" si="17"/>
        <v>1450000000</v>
      </c>
      <c r="G109" s="262">
        <f t="shared" si="17"/>
        <v>1450000000</v>
      </c>
      <c r="H109" s="262">
        <f t="shared" si="17"/>
        <v>1450000000</v>
      </c>
      <c r="I109" s="262">
        <f t="shared" si="17"/>
        <v>1450000000</v>
      </c>
      <c r="J109" s="262">
        <f t="shared" si="17"/>
        <v>1450000000</v>
      </c>
      <c r="K109" s="262">
        <f t="shared" si="17"/>
        <v>1450000000</v>
      </c>
    </row>
    <row r="110" spans="1:11" ht="15.75" thickBot="1">
      <c r="A110" s="226" t="s">
        <v>319</v>
      </c>
      <c r="B110" s="262"/>
      <c r="C110" s="262"/>
      <c r="D110" s="262"/>
      <c r="E110" s="262">
        <f>+H91</f>
        <v>2222222222.2222223</v>
      </c>
      <c r="F110" s="262">
        <f t="shared" si="17"/>
        <v>2222222222.2222223</v>
      </c>
      <c r="G110" s="262">
        <f t="shared" si="17"/>
        <v>2222222222.2222223</v>
      </c>
      <c r="H110" s="262">
        <f t="shared" si="17"/>
        <v>2222222222.2222223</v>
      </c>
      <c r="I110" s="262">
        <f t="shared" si="17"/>
        <v>2222222222.2222223</v>
      </c>
      <c r="J110" s="262">
        <f t="shared" si="17"/>
        <v>2222222222.2222223</v>
      </c>
      <c r="K110" s="262">
        <f t="shared" si="17"/>
        <v>2222222222.2222223</v>
      </c>
    </row>
    <row r="111" spans="1:11" ht="15.75" thickBot="1">
      <c r="A111" s="226" t="s">
        <v>320</v>
      </c>
      <c r="B111" s="262"/>
      <c r="C111" s="262"/>
      <c r="D111" s="262"/>
      <c r="E111" s="262"/>
      <c r="F111" s="262"/>
      <c r="G111" s="262">
        <f>+H92</f>
        <v>55555555.555555552</v>
      </c>
      <c r="H111" s="262">
        <f t="shared" si="17"/>
        <v>55555555.555555552</v>
      </c>
      <c r="I111" s="262">
        <f t="shared" si="17"/>
        <v>55555555.555555552</v>
      </c>
      <c r="J111" s="262">
        <f t="shared" si="17"/>
        <v>55555555.555555552</v>
      </c>
      <c r="K111" s="262">
        <f t="shared" si="17"/>
        <v>55555555.555555552</v>
      </c>
    </row>
    <row r="112" spans="1:11" ht="15.75" thickBot="1">
      <c r="A112" s="226" t="s">
        <v>321</v>
      </c>
      <c r="B112" s="262"/>
      <c r="C112" s="234"/>
      <c r="D112" s="234"/>
      <c r="E112" s="234"/>
      <c r="F112" s="234"/>
      <c r="G112" s="234">
        <f>+H93</f>
        <v>222222222.22222221</v>
      </c>
      <c r="H112" s="234">
        <f t="shared" si="17"/>
        <v>222222222.22222221</v>
      </c>
      <c r="I112" s="234">
        <f t="shared" si="17"/>
        <v>222222222.22222221</v>
      </c>
      <c r="J112" s="234">
        <f t="shared" si="17"/>
        <v>222222222.22222221</v>
      </c>
      <c r="K112" s="234">
        <f t="shared" si="17"/>
        <v>222222222.22222221</v>
      </c>
    </row>
    <row r="113" spans="1:11" ht="15.75" thickBot="1">
      <c r="A113" s="229" t="s">
        <v>330</v>
      </c>
      <c r="B113" s="263" t="e">
        <f>SUM(B100:B112)</f>
        <v>#REF!</v>
      </c>
      <c r="C113" s="263" t="e">
        <f t="shared" ref="C113:K113" si="18">SUM(C100:C112)</f>
        <v>#REF!</v>
      </c>
      <c r="D113" s="263" t="e">
        <f t="shared" si="18"/>
        <v>#REF!</v>
      </c>
      <c r="E113" s="263" t="e">
        <f t="shared" si="18"/>
        <v>#REF!</v>
      </c>
      <c r="F113" s="263" t="e">
        <f t="shared" si="18"/>
        <v>#REF!</v>
      </c>
      <c r="G113" s="263" t="e">
        <f t="shared" si="18"/>
        <v>#REF!</v>
      </c>
      <c r="H113" s="263" t="e">
        <f t="shared" si="18"/>
        <v>#REF!</v>
      </c>
      <c r="I113" s="263" t="e">
        <f t="shared" si="18"/>
        <v>#REF!</v>
      </c>
      <c r="J113" s="263" t="e">
        <f t="shared" si="18"/>
        <v>#REF!</v>
      </c>
      <c r="K113" s="263" t="e">
        <f t="shared" si="18"/>
        <v>#REF!</v>
      </c>
    </row>
    <row r="115" spans="1:11" ht="15.75" thickBot="1"/>
    <row r="116" spans="1:11" ht="15.75" thickBot="1">
      <c r="A116" s="227" t="s">
        <v>373</v>
      </c>
    </row>
    <row r="119" spans="1:11" ht="15.75" thickBot="1">
      <c r="A119" s="224"/>
      <c r="B119" s="230">
        <v>43983</v>
      </c>
      <c r="C119" s="230">
        <v>44348</v>
      </c>
      <c r="D119" s="230">
        <v>44713</v>
      </c>
      <c r="E119" s="230">
        <v>45078</v>
      </c>
      <c r="F119" s="230">
        <v>45444</v>
      </c>
      <c r="G119" s="230">
        <v>45809</v>
      </c>
      <c r="H119" s="230">
        <v>46174</v>
      </c>
      <c r="I119" s="230">
        <v>46539</v>
      </c>
      <c r="J119" s="230">
        <v>46905</v>
      </c>
      <c r="K119" s="230">
        <v>47270</v>
      </c>
    </row>
    <row r="120" spans="1:11" ht="15.75" thickBot="1">
      <c r="A120" s="227" t="s">
        <v>191</v>
      </c>
      <c r="B120" s="228" t="s">
        <v>229</v>
      </c>
      <c r="C120" s="228" t="s">
        <v>230</v>
      </c>
      <c r="D120" s="228" t="s">
        <v>231</v>
      </c>
      <c r="E120" s="228" t="s">
        <v>232</v>
      </c>
      <c r="F120" s="228" t="s">
        <v>233</v>
      </c>
      <c r="G120" s="228" t="s">
        <v>234</v>
      </c>
      <c r="H120" s="228" t="s">
        <v>235</v>
      </c>
      <c r="I120" s="228" t="s">
        <v>236</v>
      </c>
      <c r="J120" s="228" t="s">
        <v>237</v>
      </c>
      <c r="K120" s="228" t="s">
        <v>238</v>
      </c>
    </row>
    <row r="121" spans="1:11" ht="15.75" thickBot="1">
      <c r="A121" s="225" t="s">
        <v>213</v>
      </c>
      <c r="B121" s="234" t="e">
        <f>+B100</f>
        <v>#REF!</v>
      </c>
      <c r="C121" s="234" t="e">
        <f>B121+C100</f>
        <v>#REF!</v>
      </c>
      <c r="D121" s="234" t="e">
        <f t="shared" ref="D121:K121" si="19">C121+D100</f>
        <v>#REF!</v>
      </c>
      <c r="E121" s="234" t="e">
        <f t="shared" si="19"/>
        <v>#REF!</v>
      </c>
      <c r="F121" s="234" t="e">
        <f t="shared" si="19"/>
        <v>#REF!</v>
      </c>
      <c r="G121" s="234" t="e">
        <f t="shared" si="19"/>
        <v>#REF!</v>
      </c>
      <c r="H121" s="234" t="e">
        <f t="shared" si="19"/>
        <v>#REF!</v>
      </c>
      <c r="I121" s="234" t="e">
        <f t="shared" si="19"/>
        <v>#REF!</v>
      </c>
      <c r="J121" s="234" t="e">
        <f t="shared" si="19"/>
        <v>#REF!</v>
      </c>
      <c r="K121" s="234" t="e">
        <f t="shared" si="19"/>
        <v>#REF!</v>
      </c>
    </row>
    <row r="122" spans="1:11" ht="15.75" thickBot="1">
      <c r="A122" s="225" t="s">
        <v>214</v>
      </c>
      <c r="B122" s="234" t="e">
        <f t="shared" ref="B122:B133" si="20">+B101</f>
        <v>#REF!</v>
      </c>
      <c r="C122" s="234" t="e">
        <f t="shared" ref="C122:K133" si="21">B122+C101</f>
        <v>#REF!</v>
      </c>
      <c r="D122" s="234" t="e">
        <f t="shared" si="21"/>
        <v>#REF!</v>
      </c>
      <c r="E122" s="234" t="e">
        <f t="shared" si="21"/>
        <v>#REF!</v>
      </c>
      <c r="F122" s="234" t="e">
        <f t="shared" si="21"/>
        <v>#REF!</v>
      </c>
      <c r="G122" s="234" t="e">
        <f t="shared" si="21"/>
        <v>#REF!</v>
      </c>
      <c r="H122" s="234" t="e">
        <f t="shared" si="21"/>
        <v>#REF!</v>
      </c>
      <c r="I122" s="234" t="e">
        <f t="shared" si="21"/>
        <v>#REF!</v>
      </c>
      <c r="J122" s="234" t="e">
        <f t="shared" si="21"/>
        <v>#REF!</v>
      </c>
      <c r="K122" s="234" t="e">
        <f t="shared" si="21"/>
        <v>#REF!</v>
      </c>
    </row>
    <row r="123" spans="1:11" ht="15.75" thickBot="1">
      <c r="A123" s="225" t="s">
        <v>215</v>
      </c>
      <c r="B123" s="234" t="e">
        <f t="shared" si="20"/>
        <v>#REF!</v>
      </c>
      <c r="C123" s="234" t="e">
        <f t="shared" si="21"/>
        <v>#REF!</v>
      </c>
      <c r="D123" s="234" t="e">
        <f t="shared" si="21"/>
        <v>#REF!</v>
      </c>
      <c r="E123" s="234" t="e">
        <f t="shared" si="21"/>
        <v>#REF!</v>
      </c>
      <c r="F123" s="234" t="e">
        <f t="shared" si="21"/>
        <v>#REF!</v>
      </c>
      <c r="G123" s="234" t="e">
        <f t="shared" si="21"/>
        <v>#REF!</v>
      </c>
      <c r="H123" s="234" t="e">
        <f t="shared" si="21"/>
        <v>#REF!</v>
      </c>
      <c r="I123" s="234" t="e">
        <f t="shared" si="21"/>
        <v>#REF!</v>
      </c>
      <c r="J123" s="234" t="e">
        <f t="shared" si="21"/>
        <v>#REF!</v>
      </c>
      <c r="K123" s="234" t="e">
        <f t="shared" si="21"/>
        <v>#REF!</v>
      </c>
    </row>
    <row r="124" spans="1:11" ht="15.75" thickBot="1">
      <c r="A124" s="225" t="s">
        <v>216</v>
      </c>
      <c r="B124" s="234" t="e">
        <f t="shared" si="20"/>
        <v>#REF!</v>
      </c>
      <c r="C124" s="234" t="e">
        <f t="shared" si="21"/>
        <v>#REF!</v>
      </c>
      <c r="D124" s="234" t="e">
        <f t="shared" si="21"/>
        <v>#REF!</v>
      </c>
      <c r="E124" s="234" t="e">
        <f t="shared" si="21"/>
        <v>#REF!</v>
      </c>
      <c r="F124" s="234" t="e">
        <f t="shared" si="21"/>
        <v>#REF!</v>
      </c>
      <c r="G124" s="234" t="e">
        <f t="shared" si="21"/>
        <v>#REF!</v>
      </c>
      <c r="H124" s="234" t="e">
        <f t="shared" si="21"/>
        <v>#REF!</v>
      </c>
      <c r="I124" s="234" t="e">
        <f t="shared" si="21"/>
        <v>#REF!</v>
      </c>
      <c r="J124" s="234" t="e">
        <f t="shared" si="21"/>
        <v>#REF!</v>
      </c>
      <c r="K124" s="234" t="e">
        <f t="shared" si="21"/>
        <v>#REF!</v>
      </c>
    </row>
    <row r="125" spans="1:11" ht="15.75" thickBot="1">
      <c r="A125" s="225" t="s">
        <v>217</v>
      </c>
      <c r="B125" s="234" t="e">
        <f t="shared" si="20"/>
        <v>#REF!</v>
      </c>
      <c r="C125" s="234" t="e">
        <f t="shared" si="21"/>
        <v>#REF!</v>
      </c>
      <c r="D125" s="234" t="e">
        <f t="shared" si="21"/>
        <v>#REF!</v>
      </c>
      <c r="E125" s="234" t="e">
        <f t="shared" si="21"/>
        <v>#REF!</v>
      </c>
      <c r="F125" s="234" t="e">
        <f t="shared" si="21"/>
        <v>#REF!</v>
      </c>
      <c r="G125" s="234" t="e">
        <f t="shared" si="21"/>
        <v>#REF!</v>
      </c>
      <c r="H125" s="234" t="e">
        <f t="shared" si="21"/>
        <v>#REF!</v>
      </c>
      <c r="I125" s="234" t="e">
        <f t="shared" si="21"/>
        <v>#REF!</v>
      </c>
      <c r="J125" s="234" t="e">
        <f t="shared" si="21"/>
        <v>#REF!</v>
      </c>
      <c r="K125" s="234" t="e">
        <f t="shared" si="21"/>
        <v>#REF!</v>
      </c>
    </row>
    <row r="126" spans="1:11" ht="15.75" thickBot="1">
      <c r="A126" s="225" t="s">
        <v>218</v>
      </c>
      <c r="B126" s="234" t="e">
        <f t="shared" si="20"/>
        <v>#REF!</v>
      </c>
      <c r="C126" s="234" t="e">
        <f t="shared" si="21"/>
        <v>#REF!</v>
      </c>
      <c r="D126" s="234" t="e">
        <f t="shared" si="21"/>
        <v>#REF!</v>
      </c>
      <c r="E126" s="234" t="e">
        <f t="shared" si="21"/>
        <v>#REF!</v>
      </c>
      <c r="F126" s="234" t="e">
        <f t="shared" si="21"/>
        <v>#REF!</v>
      </c>
      <c r="G126" s="234" t="e">
        <f t="shared" si="21"/>
        <v>#REF!</v>
      </c>
      <c r="H126" s="234" t="e">
        <f t="shared" si="21"/>
        <v>#REF!</v>
      </c>
      <c r="I126" s="234" t="e">
        <f t="shared" si="21"/>
        <v>#REF!</v>
      </c>
      <c r="J126" s="234" t="e">
        <f t="shared" si="21"/>
        <v>#REF!</v>
      </c>
      <c r="K126" s="234" t="e">
        <f t="shared" si="21"/>
        <v>#REF!</v>
      </c>
    </row>
    <row r="127" spans="1:11" ht="15.75" thickBot="1">
      <c r="A127" s="226" t="s">
        <v>192</v>
      </c>
      <c r="B127" s="234" t="e">
        <f t="shared" si="20"/>
        <v>#REF!</v>
      </c>
      <c r="C127" s="234" t="e">
        <f t="shared" si="21"/>
        <v>#REF!</v>
      </c>
      <c r="D127" s="234" t="e">
        <f t="shared" si="21"/>
        <v>#REF!</v>
      </c>
      <c r="E127" s="234" t="e">
        <f t="shared" si="21"/>
        <v>#REF!</v>
      </c>
      <c r="F127" s="234" t="e">
        <f t="shared" si="21"/>
        <v>#REF!</v>
      </c>
      <c r="G127" s="234" t="e">
        <f t="shared" si="21"/>
        <v>#REF!</v>
      </c>
      <c r="H127" s="234" t="e">
        <f t="shared" si="21"/>
        <v>#REF!</v>
      </c>
      <c r="I127" s="234" t="e">
        <f t="shared" si="21"/>
        <v>#REF!</v>
      </c>
      <c r="J127" s="234" t="e">
        <f t="shared" si="21"/>
        <v>#REF!</v>
      </c>
      <c r="K127" s="234" t="e">
        <f t="shared" si="21"/>
        <v>#REF!</v>
      </c>
    </row>
    <row r="128" spans="1:11" ht="15.75" thickBot="1">
      <c r="A128" s="226" t="s">
        <v>313</v>
      </c>
      <c r="B128" s="234" t="e">
        <f t="shared" si="20"/>
        <v>#REF!</v>
      </c>
      <c r="C128" s="234" t="e">
        <f t="shared" si="21"/>
        <v>#REF!</v>
      </c>
      <c r="D128" s="234" t="e">
        <f t="shared" si="21"/>
        <v>#REF!</v>
      </c>
      <c r="E128" s="234" t="e">
        <f t="shared" si="21"/>
        <v>#REF!</v>
      </c>
      <c r="F128" s="234" t="e">
        <f t="shared" si="21"/>
        <v>#REF!</v>
      </c>
      <c r="G128" s="234" t="e">
        <f t="shared" si="21"/>
        <v>#REF!</v>
      </c>
      <c r="H128" s="234" t="e">
        <f t="shared" si="21"/>
        <v>#REF!</v>
      </c>
      <c r="I128" s="234" t="e">
        <f t="shared" si="21"/>
        <v>#REF!</v>
      </c>
      <c r="J128" s="234" t="e">
        <f t="shared" si="21"/>
        <v>#REF!</v>
      </c>
      <c r="K128" s="234" t="e">
        <f t="shared" si="21"/>
        <v>#REF!</v>
      </c>
    </row>
    <row r="129" spans="1:12" ht="15.75" thickBot="1">
      <c r="A129" s="226" t="s">
        <v>313</v>
      </c>
      <c r="B129" s="234" t="e">
        <f t="shared" si="20"/>
        <v>#REF!</v>
      </c>
      <c r="C129" s="234" t="e">
        <f t="shared" si="21"/>
        <v>#REF!</v>
      </c>
      <c r="D129" s="234" t="e">
        <f t="shared" si="21"/>
        <v>#REF!</v>
      </c>
      <c r="E129" s="234" t="e">
        <f t="shared" si="21"/>
        <v>#REF!</v>
      </c>
      <c r="F129" s="234" t="e">
        <f t="shared" si="21"/>
        <v>#REF!</v>
      </c>
      <c r="G129" s="234" t="e">
        <f t="shared" si="21"/>
        <v>#REF!</v>
      </c>
      <c r="H129" s="234" t="e">
        <f t="shared" si="21"/>
        <v>#REF!</v>
      </c>
      <c r="I129" s="234" t="e">
        <f t="shared" si="21"/>
        <v>#REF!</v>
      </c>
      <c r="J129" s="234" t="e">
        <f t="shared" si="21"/>
        <v>#REF!</v>
      </c>
      <c r="K129" s="234" t="e">
        <f t="shared" si="21"/>
        <v>#REF!</v>
      </c>
    </row>
    <row r="130" spans="1:12" ht="15.75" thickBot="1">
      <c r="A130" s="226" t="s">
        <v>318</v>
      </c>
      <c r="B130" s="234">
        <f t="shared" si="20"/>
        <v>0</v>
      </c>
      <c r="C130" s="234">
        <f t="shared" si="21"/>
        <v>0</v>
      </c>
      <c r="D130" s="234">
        <f t="shared" si="21"/>
        <v>1450000000</v>
      </c>
      <c r="E130" s="234">
        <f t="shared" si="21"/>
        <v>2900000000</v>
      </c>
      <c r="F130" s="234">
        <f t="shared" si="21"/>
        <v>4350000000</v>
      </c>
      <c r="G130" s="234">
        <f t="shared" si="21"/>
        <v>5800000000</v>
      </c>
      <c r="H130" s="234">
        <f t="shared" si="21"/>
        <v>7250000000</v>
      </c>
      <c r="I130" s="234">
        <f t="shared" si="21"/>
        <v>8700000000</v>
      </c>
      <c r="J130" s="234">
        <f t="shared" si="21"/>
        <v>10150000000</v>
      </c>
      <c r="K130" s="234">
        <f t="shared" si="21"/>
        <v>11600000000</v>
      </c>
    </row>
    <row r="131" spans="1:12" ht="15.75" thickBot="1">
      <c r="A131" s="226" t="s">
        <v>319</v>
      </c>
      <c r="B131" s="234">
        <f t="shared" si="20"/>
        <v>0</v>
      </c>
      <c r="C131" s="234">
        <f t="shared" si="21"/>
        <v>0</v>
      </c>
      <c r="D131" s="234">
        <f t="shared" si="21"/>
        <v>0</v>
      </c>
      <c r="E131" s="234">
        <f t="shared" si="21"/>
        <v>2222222222.2222223</v>
      </c>
      <c r="F131" s="234">
        <f t="shared" si="21"/>
        <v>4444444444.4444447</v>
      </c>
      <c r="G131" s="234">
        <f t="shared" si="21"/>
        <v>6666666666.666667</v>
      </c>
      <c r="H131" s="234">
        <f t="shared" si="21"/>
        <v>8888888888.8888893</v>
      </c>
      <c r="I131" s="234">
        <f t="shared" si="21"/>
        <v>11111111111.111111</v>
      </c>
      <c r="J131" s="234">
        <f t="shared" si="21"/>
        <v>13333333333.333332</v>
      </c>
      <c r="K131" s="234">
        <f t="shared" si="21"/>
        <v>15555555555.555553</v>
      </c>
    </row>
    <row r="132" spans="1:12" ht="15.75" thickBot="1">
      <c r="A132" s="226" t="s">
        <v>320</v>
      </c>
      <c r="B132" s="234">
        <f t="shared" si="20"/>
        <v>0</v>
      </c>
      <c r="C132" s="234">
        <f t="shared" si="21"/>
        <v>0</v>
      </c>
      <c r="D132" s="234">
        <f t="shared" si="21"/>
        <v>0</v>
      </c>
      <c r="E132" s="234">
        <f t="shared" si="21"/>
        <v>0</v>
      </c>
      <c r="F132" s="234">
        <f t="shared" si="21"/>
        <v>0</v>
      </c>
      <c r="G132" s="234">
        <f t="shared" si="21"/>
        <v>55555555.555555552</v>
      </c>
      <c r="H132" s="234">
        <f t="shared" si="21"/>
        <v>111111111.1111111</v>
      </c>
      <c r="I132" s="234">
        <f t="shared" si="21"/>
        <v>166666666.66666666</v>
      </c>
      <c r="J132" s="234">
        <f t="shared" si="21"/>
        <v>222222222.22222221</v>
      </c>
      <c r="K132" s="234">
        <f t="shared" si="21"/>
        <v>277777777.77777779</v>
      </c>
    </row>
    <row r="133" spans="1:12" ht="15.75" thickBot="1">
      <c r="A133" s="226" t="s">
        <v>321</v>
      </c>
      <c r="B133" s="234">
        <f t="shared" si="20"/>
        <v>0</v>
      </c>
      <c r="C133" s="234">
        <f t="shared" si="21"/>
        <v>0</v>
      </c>
      <c r="D133" s="234">
        <f t="shared" si="21"/>
        <v>0</v>
      </c>
      <c r="E133" s="234">
        <f t="shared" si="21"/>
        <v>0</v>
      </c>
      <c r="F133" s="234">
        <f t="shared" si="21"/>
        <v>0</v>
      </c>
      <c r="G133" s="234">
        <f t="shared" si="21"/>
        <v>222222222.22222221</v>
      </c>
      <c r="H133" s="234">
        <f t="shared" si="21"/>
        <v>444444444.44444442</v>
      </c>
      <c r="I133" s="234">
        <f t="shared" si="21"/>
        <v>666666666.66666663</v>
      </c>
      <c r="J133" s="234">
        <f t="shared" si="21"/>
        <v>888888888.88888884</v>
      </c>
      <c r="K133" s="234">
        <f t="shared" si="21"/>
        <v>1111111111.1111112</v>
      </c>
    </row>
    <row r="134" spans="1:12" ht="15.75" thickBot="1">
      <c r="A134" s="229" t="s">
        <v>330</v>
      </c>
      <c r="B134" s="263" t="e">
        <f>SUM(B121:B133)</f>
        <v>#REF!</v>
      </c>
      <c r="C134" s="263" t="e">
        <f t="shared" ref="C134:K134" si="22">SUM(C121:C133)</f>
        <v>#REF!</v>
      </c>
      <c r="D134" s="263" t="e">
        <f t="shared" si="22"/>
        <v>#REF!</v>
      </c>
      <c r="E134" s="263" t="e">
        <f t="shared" si="22"/>
        <v>#REF!</v>
      </c>
      <c r="F134" s="263" t="e">
        <f t="shared" si="22"/>
        <v>#REF!</v>
      </c>
      <c r="G134" s="263" t="e">
        <f t="shared" si="22"/>
        <v>#REF!</v>
      </c>
      <c r="H134" s="263" t="e">
        <f t="shared" si="22"/>
        <v>#REF!</v>
      </c>
      <c r="I134" s="263" t="e">
        <f t="shared" si="22"/>
        <v>#REF!</v>
      </c>
      <c r="J134" s="263" t="e">
        <f t="shared" si="22"/>
        <v>#REF!</v>
      </c>
      <c r="K134" s="263" t="e">
        <f t="shared" si="22"/>
        <v>#REF!</v>
      </c>
    </row>
    <row r="139" spans="1:12" s="138" customFormat="1" ht="15.75">
      <c r="A139" s="201"/>
      <c r="B139" s="202" t="s">
        <v>331</v>
      </c>
      <c r="C139" s="201"/>
      <c r="D139" s="201"/>
      <c r="E139" s="201"/>
      <c r="F139" s="201"/>
      <c r="G139" s="201"/>
      <c r="H139" s="201"/>
      <c r="I139" s="201"/>
    </row>
    <row r="143" spans="1:12" ht="15.75" thickBot="1">
      <c r="A143" s="224"/>
      <c r="B143" s="230">
        <v>43617</v>
      </c>
      <c r="C143" s="230">
        <v>43983</v>
      </c>
      <c r="D143" s="230">
        <v>44348</v>
      </c>
      <c r="E143" s="230">
        <v>44713</v>
      </c>
      <c r="F143" s="230">
        <v>45078</v>
      </c>
      <c r="G143" s="230">
        <v>45444</v>
      </c>
      <c r="H143" s="230">
        <v>45809</v>
      </c>
      <c r="I143" s="230">
        <v>46174</v>
      </c>
      <c r="J143" s="230">
        <v>46539</v>
      </c>
      <c r="K143" s="230">
        <v>46905</v>
      </c>
      <c r="L143" s="230">
        <v>47270</v>
      </c>
    </row>
    <row r="144" spans="1:12">
      <c r="A144" s="373" t="s">
        <v>191</v>
      </c>
      <c r="B144" s="375" t="s">
        <v>239</v>
      </c>
      <c r="C144" s="232" t="s">
        <v>332</v>
      </c>
      <c r="D144" s="232" t="s">
        <v>332</v>
      </c>
      <c r="E144" s="232" t="s">
        <v>332</v>
      </c>
      <c r="F144" s="232" t="s">
        <v>332</v>
      </c>
      <c r="G144" s="232" t="s">
        <v>332</v>
      </c>
      <c r="H144" s="232" t="s">
        <v>332</v>
      </c>
      <c r="I144" s="232" t="s">
        <v>332</v>
      </c>
      <c r="J144" s="232" t="s">
        <v>332</v>
      </c>
      <c r="K144" s="232" t="s">
        <v>332</v>
      </c>
      <c r="L144" s="232" t="s">
        <v>332</v>
      </c>
    </row>
    <row r="145" spans="1:12" ht="15.75" thickBot="1">
      <c r="A145" s="374"/>
      <c r="B145" s="376"/>
      <c r="C145" s="233">
        <v>1</v>
      </c>
      <c r="D145" s="233">
        <v>2</v>
      </c>
      <c r="E145" s="233">
        <v>3</v>
      </c>
      <c r="F145" s="233">
        <v>4</v>
      </c>
      <c r="G145" s="233">
        <v>5</v>
      </c>
      <c r="H145" s="233">
        <v>6</v>
      </c>
      <c r="I145" s="233">
        <v>7</v>
      </c>
      <c r="J145" s="233">
        <v>8</v>
      </c>
      <c r="K145" s="233">
        <v>9</v>
      </c>
      <c r="L145" s="233">
        <v>10</v>
      </c>
    </row>
    <row r="146" spans="1:12" ht="15.75" thickBot="1">
      <c r="A146" s="225" t="s">
        <v>213</v>
      </c>
      <c r="B146" s="234" t="e">
        <f>+C80</f>
        <v>#REF!</v>
      </c>
      <c r="C146" s="234" t="e">
        <f>$B$146-B121</f>
        <v>#REF!</v>
      </c>
      <c r="D146" s="234" t="e">
        <f t="shared" ref="D146:L146" si="23">$B$146-C121</f>
        <v>#REF!</v>
      </c>
      <c r="E146" s="234" t="e">
        <f t="shared" si="23"/>
        <v>#REF!</v>
      </c>
      <c r="F146" s="234" t="e">
        <f t="shared" si="23"/>
        <v>#REF!</v>
      </c>
      <c r="G146" s="234" t="e">
        <f t="shared" si="23"/>
        <v>#REF!</v>
      </c>
      <c r="H146" s="234" t="e">
        <f t="shared" si="23"/>
        <v>#REF!</v>
      </c>
      <c r="I146" s="234" t="e">
        <f t="shared" si="23"/>
        <v>#REF!</v>
      </c>
      <c r="J146" s="234" t="e">
        <f t="shared" si="23"/>
        <v>#REF!</v>
      </c>
      <c r="K146" s="234" t="e">
        <f t="shared" si="23"/>
        <v>#REF!</v>
      </c>
      <c r="L146" s="234" t="e">
        <f t="shared" si="23"/>
        <v>#REF!</v>
      </c>
    </row>
    <row r="147" spans="1:12" ht="15.75" thickBot="1">
      <c r="A147" s="225" t="s">
        <v>214</v>
      </c>
      <c r="B147" s="234" t="e">
        <f t="shared" ref="B147:B155" si="24">+C81</f>
        <v>#REF!</v>
      </c>
      <c r="C147" s="234" t="e">
        <f>$B$147-B122</f>
        <v>#REF!</v>
      </c>
      <c r="D147" s="234" t="e">
        <f t="shared" ref="D147:L147" si="25">$B$147-C122</f>
        <v>#REF!</v>
      </c>
      <c r="E147" s="234" t="e">
        <f t="shared" si="25"/>
        <v>#REF!</v>
      </c>
      <c r="F147" s="234" t="e">
        <f t="shared" si="25"/>
        <v>#REF!</v>
      </c>
      <c r="G147" s="234" t="e">
        <f t="shared" si="25"/>
        <v>#REF!</v>
      </c>
      <c r="H147" s="234" t="e">
        <f t="shared" si="25"/>
        <v>#REF!</v>
      </c>
      <c r="I147" s="234" t="e">
        <f t="shared" si="25"/>
        <v>#REF!</v>
      </c>
      <c r="J147" s="234" t="e">
        <f t="shared" si="25"/>
        <v>#REF!</v>
      </c>
      <c r="K147" s="234" t="e">
        <f t="shared" si="25"/>
        <v>#REF!</v>
      </c>
      <c r="L147" s="234" t="e">
        <f t="shared" si="25"/>
        <v>#REF!</v>
      </c>
    </row>
    <row r="148" spans="1:12" ht="15.75" thickBot="1">
      <c r="A148" s="225" t="s">
        <v>215</v>
      </c>
      <c r="B148" s="234" t="e">
        <f t="shared" si="24"/>
        <v>#REF!</v>
      </c>
      <c r="C148" s="234" t="e">
        <f>$B$148-B123</f>
        <v>#REF!</v>
      </c>
      <c r="D148" s="234" t="e">
        <f t="shared" ref="D148:L148" si="26">$B$148-C123</f>
        <v>#REF!</v>
      </c>
      <c r="E148" s="234" t="e">
        <f t="shared" si="26"/>
        <v>#REF!</v>
      </c>
      <c r="F148" s="234" t="e">
        <f t="shared" si="26"/>
        <v>#REF!</v>
      </c>
      <c r="G148" s="234" t="e">
        <f t="shared" si="26"/>
        <v>#REF!</v>
      </c>
      <c r="H148" s="234" t="e">
        <f t="shared" si="26"/>
        <v>#REF!</v>
      </c>
      <c r="I148" s="234" t="e">
        <f t="shared" si="26"/>
        <v>#REF!</v>
      </c>
      <c r="J148" s="234" t="e">
        <f t="shared" si="26"/>
        <v>#REF!</v>
      </c>
      <c r="K148" s="234" t="e">
        <f t="shared" si="26"/>
        <v>#REF!</v>
      </c>
      <c r="L148" s="234" t="e">
        <f t="shared" si="26"/>
        <v>#REF!</v>
      </c>
    </row>
    <row r="149" spans="1:12" ht="15.75" thickBot="1">
      <c r="A149" s="225" t="s">
        <v>216</v>
      </c>
      <c r="B149" s="234" t="e">
        <f t="shared" si="24"/>
        <v>#REF!</v>
      </c>
      <c r="C149" s="234" t="e">
        <f>$B$149-B124</f>
        <v>#REF!</v>
      </c>
      <c r="D149" s="234" t="e">
        <f t="shared" ref="D149:L149" si="27">$B$149-C124</f>
        <v>#REF!</v>
      </c>
      <c r="E149" s="234" t="e">
        <f t="shared" si="27"/>
        <v>#REF!</v>
      </c>
      <c r="F149" s="234" t="e">
        <f t="shared" si="27"/>
        <v>#REF!</v>
      </c>
      <c r="G149" s="234" t="e">
        <f t="shared" si="27"/>
        <v>#REF!</v>
      </c>
      <c r="H149" s="234" t="e">
        <f t="shared" si="27"/>
        <v>#REF!</v>
      </c>
      <c r="I149" s="234" t="e">
        <f t="shared" si="27"/>
        <v>#REF!</v>
      </c>
      <c r="J149" s="234" t="e">
        <f t="shared" si="27"/>
        <v>#REF!</v>
      </c>
      <c r="K149" s="234" t="e">
        <f t="shared" si="27"/>
        <v>#REF!</v>
      </c>
      <c r="L149" s="234" t="e">
        <f t="shared" si="27"/>
        <v>#REF!</v>
      </c>
    </row>
    <row r="150" spans="1:12" ht="15.75" thickBot="1">
      <c r="A150" s="225" t="s">
        <v>217</v>
      </c>
      <c r="B150" s="234" t="e">
        <f t="shared" si="24"/>
        <v>#REF!</v>
      </c>
      <c r="C150" s="234" t="e">
        <f>$B$150-B125</f>
        <v>#REF!</v>
      </c>
      <c r="D150" s="234" t="e">
        <f t="shared" ref="D150:L150" si="28">$B$150-C125</f>
        <v>#REF!</v>
      </c>
      <c r="E150" s="234" t="e">
        <f t="shared" si="28"/>
        <v>#REF!</v>
      </c>
      <c r="F150" s="234" t="e">
        <f t="shared" si="28"/>
        <v>#REF!</v>
      </c>
      <c r="G150" s="234" t="e">
        <f t="shared" si="28"/>
        <v>#REF!</v>
      </c>
      <c r="H150" s="234" t="e">
        <f t="shared" si="28"/>
        <v>#REF!</v>
      </c>
      <c r="I150" s="234" t="e">
        <f t="shared" si="28"/>
        <v>#REF!</v>
      </c>
      <c r="J150" s="234" t="e">
        <f t="shared" si="28"/>
        <v>#REF!</v>
      </c>
      <c r="K150" s="234" t="e">
        <f t="shared" si="28"/>
        <v>#REF!</v>
      </c>
      <c r="L150" s="234" t="e">
        <f t="shared" si="28"/>
        <v>#REF!</v>
      </c>
    </row>
    <row r="151" spans="1:12" ht="15.75" thickBot="1">
      <c r="A151" s="225" t="s">
        <v>218</v>
      </c>
      <c r="B151" s="234" t="e">
        <f t="shared" si="24"/>
        <v>#REF!</v>
      </c>
      <c r="C151" s="234" t="e">
        <f>$B$151-B126</f>
        <v>#REF!</v>
      </c>
      <c r="D151" s="234" t="e">
        <f t="shared" ref="D151:L151" si="29">$B$151-C126</f>
        <v>#REF!</v>
      </c>
      <c r="E151" s="234" t="e">
        <f t="shared" si="29"/>
        <v>#REF!</v>
      </c>
      <c r="F151" s="234" t="e">
        <f t="shared" si="29"/>
        <v>#REF!</v>
      </c>
      <c r="G151" s="234" t="e">
        <f t="shared" si="29"/>
        <v>#REF!</v>
      </c>
      <c r="H151" s="234" t="e">
        <f t="shared" si="29"/>
        <v>#REF!</v>
      </c>
      <c r="I151" s="234" t="e">
        <f t="shared" si="29"/>
        <v>#REF!</v>
      </c>
      <c r="J151" s="234" t="e">
        <f t="shared" si="29"/>
        <v>#REF!</v>
      </c>
      <c r="K151" s="234" t="e">
        <f t="shared" si="29"/>
        <v>#REF!</v>
      </c>
      <c r="L151" s="234" t="e">
        <f t="shared" si="29"/>
        <v>#REF!</v>
      </c>
    </row>
    <row r="152" spans="1:12" ht="15.75" thickBot="1">
      <c r="A152" s="226" t="s">
        <v>192</v>
      </c>
      <c r="B152" s="234" t="e">
        <f t="shared" si="24"/>
        <v>#REF!</v>
      </c>
      <c r="C152" s="234" t="e">
        <f>$B$152-B127</f>
        <v>#REF!</v>
      </c>
      <c r="D152" s="234" t="e">
        <f t="shared" ref="D152:L152" si="30">$B$152-C127</f>
        <v>#REF!</v>
      </c>
      <c r="E152" s="234" t="e">
        <f t="shared" si="30"/>
        <v>#REF!</v>
      </c>
      <c r="F152" s="234" t="e">
        <f t="shared" si="30"/>
        <v>#REF!</v>
      </c>
      <c r="G152" s="234" t="e">
        <f t="shared" si="30"/>
        <v>#REF!</v>
      </c>
      <c r="H152" s="234" t="e">
        <f t="shared" si="30"/>
        <v>#REF!</v>
      </c>
      <c r="I152" s="234" t="e">
        <f t="shared" si="30"/>
        <v>#REF!</v>
      </c>
      <c r="J152" s="234" t="e">
        <f t="shared" si="30"/>
        <v>#REF!</v>
      </c>
      <c r="K152" s="234" t="e">
        <f t="shared" si="30"/>
        <v>#REF!</v>
      </c>
      <c r="L152" s="234" t="e">
        <f t="shared" si="30"/>
        <v>#REF!</v>
      </c>
    </row>
    <row r="153" spans="1:12" ht="15.75" thickBot="1">
      <c r="A153" s="226" t="s">
        <v>313</v>
      </c>
      <c r="B153" s="234" t="e">
        <f t="shared" si="24"/>
        <v>#REF!</v>
      </c>
      <c r="C153" s="234" t="e">
        <f>$B$153-B128</f>
        <v>#REF!</v>
      </c>
      <c r="D153" s="234" t="e">
        <f t="shared" ref="D153:L153" si="31">$B$153-C128</f>
        <v>#REF!</v>
      </c>
      <c r="E153" s="234" t="e">
        <f t="shared" si="31"/>
        <v>#REF!</v>
      </c>
      <c r="F153" s="234" t="e">
        <f t="shared" si="31"/>
        <v>#REF!</v>
      </c>
      <c r="G153" s="234" t="e">
        <f t="shared" si="31"/>
        <v>#REF!</v>
      </c>
      <c r="H153" s="234" t="e">
        <f t="shared" si="31"/>
        <v>#REF!</v>
      </c>
      <c r="I153" s="234" t="e">
        <f t="shared" si="31"/>
        <v>#REF!</v>
      </c>
      <c r="J153" s="234" t="e">
        <f t="shared" si="31"/>
        <v>#REF!</v>
      </c>
      <c r="K153" s="234" t="e">
        <f t="shared" si="31"/>
        <v>#REF!</v>
      </c>
      <c r="L153" s="234" t="e">
        <f t="shared" si="31"/>
        <v>#REF!</v>
      </c>
    </row>
    <row r="154" spans="1:12" ht="15.75" thickBot="1">
      <c r="A154" s="225" t="s">
        <v>193</v>
      </c>
      <c r="B154" s="234" t="e">
        <f t="shared" si="24"/>
        <v>#REF!</v>
      </c>
      <c r="C154" s="234" t="e">
        <f>+B154</f>
        <v>#REF!</v>
      </c>
      <c r="D154" s="234" t="e">
        <f t="shared" ref="D154:L154" si="32">+C154</f>
        <v>#REF!</v>
      </c>
      <c r="E154" s="234" t="e">
        <f t="shared" si="32"/>
        <v>#REF!</v>
      </c>
      <c r="F154" s="234" t="e">
        <f t="shared" si="32"/>
        <v>#REF!</v>
      </c>
      <c r="G154" s="234" t="e">
        <f t="shared" si="32"/>
        <v>#REF!</v>
      </c>
      <c r="H154" s="234" t="e">
        <f t="shared" si="32"/>
        <v>#REF!</v>
      </c>
      <c r="I154" s="234" t="e">
        <f t="shared" si="32"/>
        <v>#REF!</v>
      </c>
      <c r="J154" s="234" t="e">
        <f t="shared" si="32"/>
        <v>#REF!</v>
      </c>
      <c r="K154" s="234" t="e">
        <f t="shared" si="32"/>
        <v>#REF!</v>
      </c>
      <c r="L154" s="234" t="e">
        <f t="shared" si="32"/>
        <v>#REF!</v>
      </c>
    </row>
    <row r="155" spans="1:12" ht="15.75" thickBot="1">
      <c r="A155" s="226" t="s">
        <v>313</v>
      </c>
      <c r="B155" s="234" t="e">
        <f t="shared" si="24"/>
        <v>#REF!</v>
      </c>
      <c r="C155" s="234" t="e">
        <f>$B$155-B129</f>
        <v>#REF!</v>
      </c>
      <c r="D155" s="234" t="e">
        <f t="shared" ref="D155:L155" si="33">$B$155-C129</f>
        <v>#REF!</v>
      </c>
      <c r="E155" s="234" t="e">
        <f t="shared" si="33"/>
        <v>#REF!</v>
      </c>
      <c r="F155" s="234" t="e">
        <f t="shared" si="33"/>
        <v>#REF!</v>
      </c>
      <c r="G155" s="234" t="e">
        <f t="shared" si="33"/>
        <v>#REF!</v>
      </c>
      <c r="H155" s="234" t="e">
        <f t="shared" si="33"/>
        <v>#REF!</v>
      </c>
      <c r="I155" s="234" t="e">
        <f t="shared" si="33"/>
        <v>#REF!</v>
      </c>
      <c r="J155" s="234" t="e">
        <f t="shared" si="33"/>
        <v>#REF!</v>
      </c>
      <c r="K155" s="234" t="e">
        <f t="shared" si="33"/>
        <v>#REF!</v>
      </c>
      <c r="L155" s="234" t="e">
        <f t="shared" si="33"/>
        <v>#REF!</v>
      </c>
    </row>
    <row r="156" spans="1:12" ht="15.75" thickBot="1">
      <c r="A156" s="226" t="s">
        <v>318</v>
      </c>
      <c r="B156" s="234">
        <v>0</v>
      </c>
      <c r="C156" s="234">
        <v>0</v>
      </c>
      <c r="D156" s="234">
        <v>0</v>
      </c>
      <c r="E156" s="234">
        <f>$C$90-D130</f>
        <v>56550000000</v>
      </c>
      <c r="F156" s="234">
        <f t="shared" ref="F156:L156" si="34">$C$90-E130</f>
        <v>55100000000</v>
      </c>
      <c r="G156" s="234">
        <f t="shared" si="34"/>
        <v>53650000000</v>
      </c>
      <c r="H156" s="234">
        <f t="shared" si="34"/>
        <v>52200000000</v>
      </c>
      <c r="I156" s="234">
        <f t="shared" si="34"/>
        <v>50750000000</v>
      </c>
      <c r="J156" s="234">
        <f t="shared" si="34"/>
        <v>49300000000</v>
      </c>
      <c r="K156" s="234">
        <f t="shared" si="34"/>
        <v>47850000000</v>
      </c>
      <c r="L156" s="234">
        <f t="shared" si="34"/>
        <v>46400000000</v>
      </c>
    </row>
    <row r="157" spans="1:12" ht="15.75" thickBot="1">
      <c r="A157" s="226" t="s">
        <v>319</v>
      </c>
      <c r="B157" s="234">
        <v>0</v>
      </c>
      <c r="C157" s="234">
        <f>$B$157-B131</f>
        <v>0</v>
      </c>
      <c r="D157" s="234">
        <f t="shared" ref="D157:E157" si="35">$B$157-C131</f>
        <v>0</v>
      </c>
      <c r="E157" s="234">
        <f t="shared" si="35"/>
        <v>0</v>
      </c>
      <c r="F157" s="234">
        <f>$C$91-E131</f>
        <v>97777777777.777771</v>
      </c>
      <c r="G157" s="234">
        <f t="shared" ref="G157:L157" si="36">$C$91-F131</f>
        <v>95555555555.555557</v>
      </c>
      <c r="H157" s="234">
        <f t="shared" si="36"/>
        <v>93333333333.333328</v>
      </c>
      <c r="I157" s="234">
        <f t="shared" si="36"/>
        <v>91111111111.111115</v>
      </c>
      <c r="J157" s="234">
        <f t="shared" si="36"/>
        <v>88888888888.888885</v>
      </c>
      <c r="K157" s="234">
        <f t="shared" si="36"/>
        <v>86666666666.666672</v>
      </c>
      <c r="L157" s="234">
        <f t="shared" si="36"/>
        <v>84444444444.444443</v>
      </c>
    </row>
    <row r="158" spans="1:12" ht="15.75" thickBot="1">
      <c r="A158" s="226" t="s">
        <v>320</v>
      </c>
      <c r="B158" s="234">
        <v>0</v>
      </c>
      <c r="C158" s="234">
        <f>$B$158-B132</f>
        <v>0</v>
      </c>
      <c r="D158" s="234">
        <f t="shared" ref="D158:F158" si="37">$B$158-C132</f>
        <v>0</v>
      </c>
      <c r="E158" s="234">
        <f t="shared" si="37"/>
        <v>0</v>
      </c>
      <c r="F158" s="234">
        <f t="shared" si="37"/>
        <v>0</v>
      </c>
      <c r="G158" s="234">
        <v>0</v>
      </c>
      <c r="H158" s="234">
        <f>$C$92-G132</f>
        <v>2444444444.4444447</v>
      </c>
      <c r="I158" s="234">
        <f t="shared" ref="I158:L158" si="38">$C$92-H132</f>
        <v>2388888888.8888888</v>
      </c>
      <c r="J158" s="234">
        <f t="shared" si="38"/>
        <v>2333333333.3333335</v>
      </c>
      <c r="K158" s="234">
        <f t="shared" si="38"/>
        <v>2277777777.7777777</v>
      </c>
      <c r="L158" s="234">
        <f t="shared" si="38"/>
        <v>2222222222.2222223</v>
      </c>
    </row>
    <row r="159" spans="1:12" ht="15.75" thickBot="1">
      <c r="A159" s="226" t="s">
        <v>321</v>
      </c>
      <c r="B159" s="234">
        <v>0</v>
      </c>
      <c r="C159" s="234">
        <f>$B$159-B133</f>
        <v>0</v>
      </c>
      <c r="D159" s="234">
        <f t="shared" ref="D159:F159" si="39">$B$159-C133</f>
        <v>0</v>
      </c>
      <c r="E159" s="234">
        <f t="shared" si="39"/>
        <v>0</v>
      </c>
      <c r="F159" s="234">
        <f t="shared" si="39"/>
        <v>0</v>
      </c>
      <c r="G159" s="234">
        <v>0</v>
      </c>
      <c r="H159" s="234">
        <f>$C$93-G133</f>
        <v>9777777777.7777786</v>
      </c>
      <c r="I159" s="234">
        <f t="shared" ref="I159:L159" si="40">$C$93-H133</f>
        <v>9555555555.5555553</v>
      </c>
      <c r="J159" s="234">
        <f t="shared" si="40"/>
        <v>9333333333.333334</v>
      </c>
      <c r="K159" s="234">
        <f t="shared" si="40"/>
        <v>9111111111.1111107</v>
      </c>
      <c r="L159" s="234">
        <f t="shared" si="40"/>
        <v>8888888888.8888893</v>
      </c>
    </row>
    <row r="160" spans="1:12" ht="18.75" thickBot="1">
      <c r="A160" s="236" t="s">
        <v>333</v>
      </c>
      <c r="B160" s="237" t="e">
        <f>SUM(B146:B159)</f>
        <v>#REF!</v>
      </c>
      <c r="C160" s="237" t="e">
        <f t="shared" ref="C160:L160" si="41">SUM(C146:C159)</f>
        <v>#REF!</v>
      </c>
      <c r="D160" s="237" t="e">
        <f t="shared" si="41"/>
        <v>#REF!</v>
      </c>
      <c r="E160" s="237" t="e">
        <f t="shared" si="41"/>
        <v>#REF!</v>
      </c>
      <c r="F160" s="237" t="e">
        <f t="shared" si="41"/>
        <v>#REF!</v>
      </c>
      <c r="G160" s="237" t="e">
        <f t="shared" si="41"/>
        <v>#REF!</v>
      </c>
      <c r="H160" s="237" t="e">
        <f t="shared" si="41"/>
        <v>#REF!</v>
      </c>
      <c r="I160" s="237" t="e">
        <f t="shared" si="41"/>
        <v>#REF!</v>
      </c>
      <c r="J160" s="237" t="e">
        <f t="shared" si="41"/>
        <v>#REF!</v>
      </c>
      <c r="K160" s="237" t="e">
        <f t="shared" si="41"/>
        <v>#REF!</v>
      </c>
      <c r="L160" s="237" t="e">
        <f t="shared" si="41"/>
        <v>#REF!</v>
      </c>
    </row>
    <row r="163" spans="1:12" s="138" customFormat="1" ht="15.75">
      <c r="A163" s="201"/>
      <c r="B163" s="202" t="s">
        <v>334</v>
      </c>
      <c r="C163" s="201"/>
      <c r="D163" s="201"/>
      <c r="E163" s="201"/>
      <c r="F163" s="201"/>
      <c r="G163" s="201"/>
      <c r="H163" s="201"/>
      <c r="I163" s="201"/>
    </row>
    <row r="166" spans="1:12">
      <c r="A166" t="s">
        <v>338</v>
      </c>
      <c r="B166" s="246">
        <v>0.12280000000000001</v>
      </c>
    </row>
    <row r="167" spans="1:12" ht="15.75" thickBot="1">
      <c r="C167" s="230">
        <v>43983</v>
      </c>
      <c r="D167" s="230">
        <v>44348</v>
      </c>
      <c r="E167" s="230">
        <v>44713</v>
      </c>
      <c r="F167" s="230">
        <v>45078</v>
      </c>
      <c r="G167" s="230">
        <v>45444</v>
      </c>
      <c r="H167" s="230">
        <v>45809</v>
      </c>
      <c r="I167" s="230">
        <v>46174</v>
      </c>
      <c r="J167" s="230">
        <v>46539</v>
      </c>
      <c r="K167" s="230">
        <v>46905</v>
      </c>
      <c r="L167" s="230">
        <v>47270</v>
      </c>
    </row>
    <row r="168" spans="1:12" ht="15.75" thickBot="1">
      <c r="A168" s="238" t="s">
        <v>194</v>
      </c>
      <c r="B168" s="239" t="s">
        <v>335</v>
      </c>
      <c r="C168" s="240">
        <v>1</v>
      </c>
      <c r="D168" s="240">
        <v>2</v>
      </c>
      <c r="E168" s="240">
        <v>3</v>
      </c>
      <c r="F168" s="240">
        <v>4</v>
      </c>
      <c r="G168" s="240">
        <v>5</v>
      </c>
      <c r="H168" s="240">
        <v>6</v>
      </c>
      <c r="I168" s="240">
        <v>7</v>
      </c>
      <c r="J168" s="240">
        <v>8</v>
      </c>
      <c r="K168" s="240">
        <v>9</v>
      </c>
      <c r="L168" s="240">
        <v>10</v>
      </c>
    </row>
    <row r="169" spans="1:12" ht="15.75" thickBot="1">
      <c r="A169" s="241"/>
      <c r="B169" s="209"/>
      <c r="C169" s="242" t="s">
        <v>195</v>
      </c>
      <c r="D169" s="242" t="s">
        <v>196</v>
      </c>
      <c r="E169" s="242" t="s">
        <v>197</v>
      </c>
      <c r="F169" s="242" t="s">
        <v>198</v>
      </c>
      <c r="G169" s="242" t="s">
        <v>199</v>
      </c>
      <c r="H169" s="242" t="s">
        <v>200</v>
      </c>
      <c r="I169" s="242" t="s">
        <v>201</v>
      </c>
      <c r="J169" s="242" t="s">
        <v>202</v>
      </c>
      <c r="K169" s="242" t="s">
        <v>203</v>
      </c>
      <c r="L169" s="242" t="s">
        <v>204</v>
      </c>
    </row>
    <row r="170" spans="1:12" ht="15.75" thickBot="1">
      <c r="A170" s="243" t="s">
        <v>241</v>
      </c>
      <c r="B170" s="264"/>
      <c r="C170" s="234" t="e">
        <f>+B113</f>
        <v>#REF!</v>
      </c>
      <c r="D170" s="234" t="e">
        <f t="shared" ref="D170:L170" si="42">+C113</f>
        <v>#REF!</v>
      </c>
      <c r="E170" s="234" t="e">
        <f t="shared" si="42"/>
        <v>#REF!</v>
      </c>
      <c r="F170" s="234" t="e">
        <f t="shared" si="42"/>
        <v>#REF!</v>
      </c>
      <c r="G170" s="234" t="e">
        <f t="shared" si="42"/>
        <v>#REF!</v>
      </c>
      <c r="H170" s="234" t="e">
        <f t="shared" si="42"/>
        <v>#REF!</v>
      </c>
      <c r="I170" s="234" t="e">
        <f t="shared" si="42"/>
        <v>#REF!</v>
      </c>
      <c r="J170" s="234" t="e">
        <f t="shared" si="42"/>
        <v>#REF!</v>
      </c>
      <c r="K170" s="234" t="e">
        <f t="shared" si="42"/>
        <v>#REF!</v>
      </c>
      <c r="L170" s="234" t="e">
        <f t="shared" si="42"/>
        <v>#REF!</v>
      </c>
    </row>
    <row r="171" spans="1:12" ht="18.75" thickBot="1">
      <c r="A171" s="244" t="s">
        <v>336</v>
      </c>
      <c r="B171" s="264"/>
      <c r="C171" s="234" t="e">
        <f>B160*$B$166</f>
        <v>#REF!</v>
      </c>
      <c r="D171" s="234" t="e">
        <f t="shared" ref="D171:L171" si="43">C160*$B$166</f>
        <v>#REF!</v>
      </c>
      <c r="E171" s="234" t="e">
        <f t="shared" si="43"/>
        <v>#REF!</v>
      </c>
      <c r="F171" s="234" t="e">
        <f t="shared" si="43"/>
        <v>#REF!</v>
      </c>
      <c r="G171" s="234" t="e">
        <f t="shared" si="43"/>
        <v>#REF!</v>
      </c>
      <c r="H171" s="234" t="e">
        <f t="shared" si="43"/>
        <v>#REF!</v>
      </c>
      <c r="I171" s="234" t="e">
        <f t="shared" si="43"/>
        <v>#REF!</v>
      </c>
      <c r="J171" s="234" t="e">
        <f t="shared" si="43"/>
        <v>#REF!</v>
      </c>
      <c r="K171" s="234" t="e">
        <f t="shared" si="43"/>
        <v>#REF!</v>
      </c>
      <c r="L171" s="234" t="e">
        <f t="shared" si="43"/>
        <v>#REF!</v>
      </c>
    </row>
    <row r="172" spans="1:12" ht="18.75" thickBot="1">
      <c r="A172" s="245" t="s">
        <v>337</v>
      </c>
      <c r="B172" s="237" t="e">
        <f>NPV(B166,C172:L172)</f>
        <v>#REF!</v>
      </c>
      <c r="C172" s="234" t="e">
        <f>C170+C171</f>
        <v>#REF!</v>
      </c>
      <c r="D172" s="234" t="e">
        <f t="shared" ref="D172:L172" si="44">D170+D171</f>
        <v>#REF!</v>
      </c>
      <c r="E172" s="234" t="e">
        <f t="shared" si="44"/>
        <v>#REF!</v>
      </c>
      <c r="F172" s="234" t="e">
        <f t="shared" si="44"/>
        <v>#REF!</v>
      </c>
      <c r="G172" s="234" t="e">
        <f t="shared" si="44"/>
        <v>#REF!</v>
      </c>
      <c r="H172" s="234" t="e">
        <f t="shared" si="44"/>
        <v>#REF!</v>
      </c>
      <c r="I172" s="234" t="e">
        <f t="shared" si="44"/>
        <v>#REF!</v>
      </c>
      <c r="J172" s="234" t="e">
        <f t="shared" si="44"/>
        <v>#REF!</v>
      </c>
      <c r="K172" s="234" t="e">
        <f t="shared" si="44"/>
        <v>#REF!</v>
      </c>
      <c r="L172" s="234" t="e">
        <f t="shared" si="44"/>
        <v>#REF!</v>
      </c>
    </row>
    <row r="173" spans="1:12" ht="15.75" thickBot="1">
      <c r="A173" s="245" t="s">
        <v>164</v>
      </c>
      <c r="B173" s="237">
        <f>NPV(B166,C173:L173)</f>
        <v>287984297.72689754</v>
      </c>
      <c r="C173" s="234">
        <f>+'CCP APS 3'!D28</f>
        <v>52623981.551992826</v>
      </c>
      <c r="D173" s="234">
        <f>+'CCP APS 3'!E28</f>
        <v>49598149.221160464</v>
      </c>
      <c r="E173" s="234">
        <f>+'CCP APS 3'!F28</f>
        <v>51720790.293806866</v>
      </c>
      <c r="F173" s="234">
        <f>+'CCP APS 3'!G28</f>
        <v>52357133.29233364</v>
      </c>
      <c r="G173" s="234">
        <f>+'CCP APS 3'!H28</f>
        <v>53003485.649644122</v>
      </c>
      <c r="H173" s="234">
        <f>+'CCP APS 3'!I28</f>
        <v>53660101.179790497</v>
      </c>
      <c r="I173" s="234">
        <f>+'CCP APS 3'!J28</f>
        <v>48900328.183138415</v>
      </c>
      <c r="J173" s="234">
        <f>+'CCP APS 3'!K28</f>
        <v>49611156.211394928</v>
      </c>
      <c r="K173" s="234">
        <f>+'CCP APS 3'!L28</f>
        <v>50337532.428794436</v>
      </c>
      <c r="L173" s="234">
        <f>+'CCP APS 3'!M28</f>
        <v>53116915.131422222</v>
      </c>
    </row>
    <row r="175" spans="1:12">
      <c r="A175" s="248" t="s">
        <v>190</v>
      </c>
      <c r="B175" s="265" t="e">
        <f>B172/B173</f>
        <v>#REF!</v>
      </c>
    </row>
  </sheetData>
  <mergeCells count="16">
    <mergeCell ref="A1:H1"/>
    <mergeCell ref="A49:A50"/>
    <mergeCell ref="B49:B50"/>
    <mergeCell ref="C49:C50"/>
    <mergeCell ref="D49:D50"/>
    <mergeCell ref="E49:E50"/>
    <mergeCell ref="G78:G79"/>
    <mergeCell ref="H78:H79"/>
    <mergeCell ref="A144:A145"/>
    <mergeCell ref="B144:B145"/>
    <mergeCell ref="A78:A79"/>
    <mergeCell ref="B78:B79"/>
    <mergeCell ref="C78:C79"/>
    <mergeCell ref="D78:D79"/>
    <mergeCell ref="E78:E79"/>
    <mergeCell ref="F78:F79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P266"/>
  <sheetViews>
    <sheetView topLeftCell="A70" zoomScaleNormal="100" workbookViewId="0">
      <selection activeCell="B92" sqref="B92"/>
    </sheetView>
  </sheetViews>
  <sheetFormatPr baseColWidth="10" defaultRowHeight="15"/>
  <cols>
    <col min="1" max="1" width="35.28515625" customWidth="1"/>
    <col min="2" max="2" width="25.5703125" customWidth="1"/>
    <col min="3" max="3" width="14.5703125" customWidth="1"/>
    <col min="4" max="4" width="14.7109375" customWidth="1"/>
    <col min="5" max="5" width="17.140625" customWidth="1"/>
    <col min="6" max="6" width="15.140625" customWidth="1"/>
    <col min="7" max="7" width="20.42578125" customWidth="1"/>
    <col min="8" max="8" width="15.42578125" customWidth="1"/>
    <col min="9" max="9" width="18.42578125" customWidth="1"/>
    <col min="10" max="10" width="15.85546875" customWidth="1"/>
    <col min="11" max="11" width="17.140625" customWidth="1"/>
    <col min="12" max="12" width="12.5703125" customWidth="1"/>
    <col min="13" max="13" width="15.85546875" customWidth="1"/>
  </cols>
  <sheetData>
    <row r="1" spans="1:16" ht="21">
      <c r="A1" s="350" t="s">
        <v>431</v>
      </c>
      <c r="B1" s="350"/>
      <c r="C1" s="350"/>
      <c r="D1" s="350"/>
      <c r="E1" s="350"/>
      <c r="F1" s="350"/>
      <c r="G1" s="350"/>
      <c r="H1" s="350"/>
    </row>
    <row r="3" spans="1:16" ht="26.25">
      <c r="A3" s="284" t="s">
        <v>375</v>
      </c>
    </row>
    <row r="4" spans="1:16" s="138" customFormat="1" ht="15.75">
      <c r="A4" s="201"/>
      <c r="B4" s="202" t="s">
        <v>339</v>
      </c>
      <c r="C4" s="201"/>
      <c r="D4" s="201"/>
      <c r="E4" s="201"/>
      <c r="F4" s="201"/>
      <c r="G4" s="201"/>
      <c r="H4" s="201"/>
      <c r="I4" s="201"/>
    </row>
    <row r="5" spans="1:16" ht="15.75" thickBot="1"/>
    <row r="6" spans="1:16">
      <c r="A6" s="164" t="s">
        <v>340</v>
      </c>
      <c r="B6" s="195"/>
      <c r="C6" s="198"/>
      <c r="D6" s="17"/>
      <c r="E6" t="s">
        <v>400</v>
      </c>
      <c r="G6" s="17"/>
    </row>
    <row r="7" spans="1:16">
      <c r="A7" s="165" t="s">
        <v>288</v>
      </c>
      <c r="B7" s="196">
        <v>0.12280000000000001</v>
      </c>
      <c r="C7" s="199"/>
      <c r="D7" s="199"/>
      <c r="E7" s="308"/>
      <c r="F7" s="230"/>
      <c r="G7" s="17"/>
      <c r="P7" s="135"/>
    </row>
    <row r="8" spans="1:16">
      <c r="A8" s="17"/>
      <c r="B8" s="32"/>
      <c r="C8" s="200"/>
      <c r="D8" s="17"/>
      <c r="E8" s="17"/>
      <c r="F8" s="17"/>
      <c r="G8" s="17"/>
    </row>
    <row r="9" spans="1:16">
      <c r="A9" t="s">
        <v>405</v>
      </c>
      <c r="G9" s="320" t="s">
        <v>409</v>
      </c>
      <c r="H9" t="s">
        <v>398</v>
      </c>
    </row>
    <row r="10" spans="1:16" ht="15.75" thickBot="1">
      <c r="C10" s="230">
        <v>42887</v>
      </c>
      <c r="D10" s="230">
        <v>43252</v>
      </c>
      <c r="E10" s="308">
        <v>43617</v>
      </c>
      <c r="F10" s="230">
        <v>43983</v>
      </c>
      <c r="G10" s="305">
        <v>44348</v>
      </c>
      <c r="H10" s="230">
        <v>44713</v>
      </c>
      <c r="I10" s="230">
        <v>45078</v>
      </c>
      <c r="J10" s="230">
        <v>45444</v>
      </c>
      <c r="K10" s="230">
        <v>45809</v>
      </c>
      <c r="L10" s="230">
        <v>46174</v>
      </c>
    </row>
    <row r="11" spans="1:16" ht="15.75" thickBot="1">
      <c r="A11" s="220" t="s">
        <v>211</v>
      </c>
      <c r="B11" s="221" t="s">
        <v>317</v>
      </c>
      <c r="C11" s="221" t="s">
        <v>195</v>
      </c>
      <c r="D11" s="221" t="s">
        <v>196</v>
      </c>
      <c r="E11" s="221" t="s">
        <v>197</v>
      </c>
      <c r="F11" s="221" t="s">
        <v>198</v>
      </c>
      <c r="G11" s="221" t="s">
        <v>199</v>
      </c>
      <c r="H11" s="221" t="s">
        <v>200</v>
      </c>
      <c r="I11" s="221" t="s">
        <v>201</v>
      </c>
      <c r="J11" s="221" t="s">
        <v>202</v>
      </c>
      <c r="K11" s="221" t="s">
        <v>203</v>
      </c>
      <c r="L11" s="221" t="s">
        <v>204</v>
      </c>
      <c r="M11" s="221" t="s">
        <v>349</v>
      </c>
    </row>
    <row r="12" spans="1:16">
      <c r="A12" s="222" t="s">
        <v>318</v>
      </c>
      <c r="B12" s="253">
        <f>NPV($B$7,C12:G12)</f>
        <v>41406230466.888405</v>
      </c>
      <c r="C12" s="254">
        <v>0</v>
      </c>
      <c r="D12" s="331">
        <f>'CMI APS1'!D67*90%</f>
        <v>52200000000</v>
      </c>
      <c r="E12" s="254">
        <v>0</v>
      </c>
      <c r="F12" s="253">
        <f>'CMI APS1'!F67*90%</f>
        <v>0</v>
      </c>
      <c r="G12" s="253">
        <f>'CMI APS1'!G67*90%</f>
        <v>0</v>
      </c>
      <c r="H12" s="254">
        <v>0</v>
      </c>
      <c r="I12" s="254">
        <v>0</v>
      </c>
      <c r="J12" s="254">
        <v>0</v>
      </c>
      <c r="K12" s="254">
        <v>0</v>
      </c>
      <c r="L12" s="254">
        <v>0</v>
      </c>
      <c r="M12" s="272">
        <f>B12/$B$16*$B$85*((1+0.1228)^$B$91)</f>
        <v>53818679067.147652</v>
      </c>
    </row>
    <row r="13" spans="1:16">
      <c r="A13" s="222" t="s">
        <v>319</v>
      </c>
      <c r="B13" s="253">
        <f t="shared" ref="B13:B14" si="0">NPV($B$7,C13:G13)</f>
        <v>63582162922.263924</v>
      </c>
      <c r="C13" s="254">
        <v>0</v>
      </c>
      <c r="D13" s="254">
        <v>0</v>
      </c>
      <c r="E13" s="331">
        <f>'CMI APS1'!E68*90%</f>
        <v>90000000000</v>
      </c>
      <c r="F13" s="253">
        <f>'CMI APS1'!F68*90%</f>
        <v>0</v>
      </c>
      <c r="G13" s="253">
        <f>'CMI APS1'!G68*90%</f>
        <v>0</v>
      </c>
      <c r="H13" s="254">
        <v>0</v>
      </c>
      <c r="I13" s="254">
        <v>0</v>
      </c>
      <c r="J13" s="254">
        <v>0</v>
      </c>
      <c r="K13" s="254">
        <v>0</v>
      </c>
      <c r="L13" s="254">
        <v>0</v>
      </c>
      <c r="M13" s="272">
        <f t="shared" ref="M13:M15" si="1">B13/$B$16*$B$85*((1+0.1228)^$B$91)</f>
        <v>82642345901.176315</v>
      </c>
    </row>
    <row r="14" spans="1:16">
      <c r="A14" s="222" t="s">
        <v>320</v>
      </c>
      <c r="B14" s="253">
        <f t="shared" si="0"/>
        <v>1260870541.9264877</v>
      </c>
      <c r="C14" s="254">
        <v>0</v>
      </c>
      <c r="D14" s="254">
        <v>0</v>
      </c>
      <c r="E14" s="254">
        <v>0</v>
      </c>
      <c r="F14" s="253">
        <f>'CMI APS1'!F69*90%</f>
        <v>0</v>
      </c>
      <c r="G14" s="331">
        <f>'CMI APS1'!G69*90%</f>
        <v>2250000000</v>
      </c>
      <c r="H14" s="329">
        <v>0</v>
      </c>
      <c r="I14" s="254">
        <v>0</v>
      </c>
      <c r="J14" s="254">
        <v>0</v>
      </c>
      <c r="K14" s="254">
        <v>0</v>
      </c>
      <c r="L14" s="254">
        <v>0</v>
      </c>
      <c r="M14" s="272">
        <f t="shared" si="1"/>
        <v>1638844837.5040309</v>
      </c>
    </row>
    <row r="15" spans="1:16" ht="15.75" thickBot="1">
      <c r="A15" s="222" t="s">
        <v>321</v>
      </c>
      <c r="B15" s="253">
        <f>NPV($B$7,C15:G15)</f>
        <v>5043482167.7059507</v>
      </c>
      <c r="C15" s="254">
        <v>0</v>
      </c>
      <c r="D15" s="254">
        <v>0</v>
      </c>
      <c r="E15" s="254">
        <v>0</v>
      </c>
      <c r="F15" s="253">
        <f>'CMI APS1'!F70*90%</f>
        <v>0</v>
      </c>
      <c r="G15" s="331">
        <f>'CMI APS1'!G70*90%</f>
        <v>9000000000</v>
      </c>
      <c r="H15" s="329">
        <v>0</v>
      </c>
      <c r="I15" s="254">
        <v>0</v>
      </c>
      <c r="J15" s="254">
        <v>0</v>
      </c>
      <c r="K15" s="254">
        <v>0</v>
      </c>
      <c r="L15" s="254">
        <v>0</v>
      </c>
      <c r="M15" s="272">
        <f t="shared" si="1"/>
        <v>6555379350.0161238</v>
      </c>
    </row>
    <row r="16" spans="1:16" ht="15.75" thickBot="1">
      <c r="A16" s="268"/>
      <c r="B16" s="268">
        <f>SUM(B12:B15)</f>
        <v>111292746098.78476</v>
      </c>
      <c r="C16" s="256">
        <f>SUM(C12:C15)</f>
        <v>0</v>
      </c>
      <c r="D16" s="256">
        <f t="shared" ref="D16:L16" si="2">SUM(D12:D15)</f>
        <v>52200000000</v>
      </c>
      <c r="E16" s="256">
        <f t="shared" si="2"/>
        <v>90000000000</v>
      </c>
      <c r="F16" s="256">
        <f t="shared" si="2"/>
        <v>0</v>
      </c>
      <c r="G16" s="256">
        <f t="shared" si="2"/>
        <v>11250000000</v>
      </c>
      <c r="H16" s="256">
        <f t="shared" si="2"/>
        <v>0</v>
      </c>
      <c r="I16" s="257">
        <f t="shared" si="2"/>
        <v>0</v>
      </c>
      <c r="J16" s="257">
        <f t="shared" si="2"/>
        <v>0</v>
      </c>
      <c r="K16" s="257">
        <f t="shared" si="2"/>
        <v>0</v>
      </c>
      <c r="L16" s="257">
        <f t="shared" si="2"/>
        <v>0</v>
      </c>
      <c r="M16" s="256">
        <f>SUM(M12:M15)</f>
        <v>144655249155.84412</v>
      </c>
    </row>
    <row r="17" spans="1:11" ht="15.75" thickBot="1">
      <c r="B17" s="267"/>
    </row>
    <row r="18" spans="1:11" ht="15.75" thickBot="1">
      <c r="A18" s="268"/>
      <c r="B18" s="268">
        <f>+B16</f>
        <v>111292746098.78476</v>
      </c>
    </row>
    <row r="19" spans="1:11">
      <c r="F19" t="s">
        <v>401</v>
      </c>
    </row>
    <row r="20" spans="1:11">
      <c r="A20" s="301" t="s">
        <v>406</v>
      </c>
      <c r="F20" t="s">
        <v>402</v>
      </c>
    </row>
    <row r="21" spans="1:11">
      <c r="F21" t="s">
        <v>403</v>
      </c>
    </row>
    <row r="22" spans="1:11">
      <c r="A22" t="s">
        <v>341</v>
      </c>
    </row>
    <row r="23" spans="1:11" ht="15.75" thickBot="1"/>
    <row r="24" spans="1:11">
      <c r="A24" s="371" t="s">
        <v>206</v>
      </c>
      <c r="B24" s="371" t="s">
        <v>191</v>
      </c>
      <c r="C24" s="377"/>
      <c r="D24" s="371" t="s">
        <v>323</v>
      </c>
      <c r="E24" s="371" t="s">
        <v>324</v>
      </c>
      <c r="F24" s="371" t="s">
        <v>325</v>
      </c>
      <c r="G24" s="379"/>
      <c r="H24" s="369" t="s">
        <v>326</v>
      </c>
    </row>
    <row r="25" spans="1:11">
      <c r="A25" s="372"/>
      <c r="B25" s="372"/>
      <c r="C25" s="378"/>
      <c r="D25" s="372"/>
      <c r="E25" s="372"/>
      <c r="F25" s="372"/>
      <c r="G25" s="380"/>
      <c r="H25" s="370"/>
    </row>
    <row r="26" spans="1:11">
      <c r="A26" s="225" t="s">
        <v>329</v>
      </c>
      <c r="B26" s="226" t="s">
        <v>318</v>
      </c>
      <c r="C26" s="338">
        <f>+'CMI APS1'!C91</f>
        <v>58000000000</v>
      </c>
      <c r="D26" s="259">
        <v>40</v>
      </c>
      <c r="E26" s="260">
        <v>43070</v>
      </c>
      <c r="F26" s="259">
        <v>0</v>
      </c>
      <c r="G26" s="259">
        <f t="shared" ref="G26:G29" si="3">D26-F26</f>
        <v>40</v>
      </c>
      <c r="H26" s="258">
        <f>C26/G26</f>
        <v>1450000000</v>
      </c>
      <c r="I26" s="15"/>
      <c r="J26" s="15"/>
      <c r="K26" s="15"/>
    </row>
    <row r="27" spans="1:11">
      <c r="A27" s="225" t="s">
        <v>329</v>
      </c>
      <c r="B27" s="226" t="s">
        <v>319</v>
      </c>
      <c r="C27" s="338">
        <f>+'CMI APS1'!C92</f>
        <v>100000000000</v>
      </c>
      <c r="D27" s="259">
        <v>45</v>
      </c>
      <c r="E27" s="260">
        <v>43435</v>
      </c>
      <c r="F27" s="259">
        <v>0</v>
      </c>
      <c r="G27" s="259">
        <f t="shared" si="3"/>
        <v>45</v>
      </c>
      <c r="H27" s="258">
        <f t="shared" ref="H27:H29" si="4">C27/G27</f>
        <v>2222222222.2222223</v>
      </c>
      <c r="I27" s="15"/>
      <c r="J27" s="15"/>
      <c r="K27" s="15"/>
    </row>
    <row r="28" spans="1:11">
      <c r="A28" s="225" t="s">
        <v>329</v>
      </c>
      <c r="B28" s="226" t="s">
        <v>320</v>
      </c>
      <c r="C28" s="338">
        <f>+'CMI APS1'!C93</f>
        <v>2500000000</v>
      </c>
      <c r="D28" s="259">
        <v>45</v>
      </c>
      <c r="E28" s="260">
        <v>44166</v>
      </c>
      <c r="F28" s="259">
        <v>0</v>
      </c>
      <c r="G28" s="259">
        <f t="shared" si="3"/>
        <v>45</v>
      </c>
      <c r="H28" s="258">
        <f t="shared" si="4"/>
        <v>55555555.555555552</v>
      </c>
    </row>
    <row r="29" spans="1:11">
      <c r="A29" s="225" t="s">
        <v>329</v>
      </c>
      <c r="B29" s="226" t="s">
        <v>321</v>
      </c>
      <c r="C29" s="338">
        <f>+'CMI APS1'!C94</f>
        <v>10000000000</v>
      </c>
      <c r="D29" s="259">
        <v>45</v>
      </c>
      <c r="E29" s="260">
        <v>44166</v>
      </c>
      <c r="F29" s="259">
        <v>0</v>
      </c>
      <c r="G29" s="259">
        <f t="shared" si="3"/>
        <v>45</v>
      </c>
      <c r="H29" s="258">
        <f t="shared" si="4"/>
        <v>222222222.22222221</v>
      </c>
    </row>
    <row r="31" spans="1:11">
      <c r="A31" t="s">
        <v>342</v>
      </c>
    </row>
    <row r="32" spans="1:11" ht="15.75" thickBot="1">
      <c r="B32" s="230">
        <v>42887</v>
      </c>
      <c r="C32" s="230">
        <v>43252</v>
      </c>
      <c r="D32" s="266">
        <v>43617</v>
      </c>
      <c r="E32" s="230">
        <v>43983</v>
      </c>
      <c r="F32" s="305">
        <v>44348</v>
      </c>
      <c r="G32" s="230">
        <v>44713</v>
      </c>
      <c r="H32" s="230">
        <v>45078</v>
      </c>
      <c r="I32" s="230">
        <v>45444</v>
      </c>
      <c r="J32" s="230">
        <v>45809</v>
      </c>
      <c r="K32" s="230">
        <v>46174</v>
      </c>
    </row>
    <row r="33" spans="1:11" ht="15.75" thickBot="1">
      <c r="A33" s="227" t="s">
        <v>191</v>
      </c>
      <c r="B33" s="228" t="s">
        <v>219</v>
      </c>
      <c r="C33" s="228" t="s">
        <v>220</v>
      </c>
      <c r="D33" s="228" t="s">
        <v>221</v>
      </c>
      <c r="E33" s="228" t="s">
        <v>222</v>
      </c>
      <c r="F33" s="228" t="s">
        <v>223</v>
      </c>
      <c r="G33" s="228" t="s">
        <v>224</v>
      </c>
      <c r="H33" s="228" t="s">
        <v>225</v>
      </c>
      <c r="I33" s="228" t="s">
        <v>226</v>
      </c>
      <c r="J33" s="228" t="s">
        <v>227</v>
      </c>
      <c r="K33" s="228" t="s">
        <v>228</v>
      </c>
    </row>
    <row r="34" spans="1:11" ht="15.75" thickBot="1">
      <c r="A34" s="226" t="s">
        <v>318</v>
      </c>
      <c r="B34" s="262">
        <v>0</v>
      </c>
      <c r="C34" s="262">
        <v>0</v>
      </c>
      <c r="D34" s="262">
        <f>+H26</f>
        <v>1450000000</v>
      </c>
      <c r="E34" s="262">
        <f>+D34</f>
        <v>1450000000</v>
      </c>
      <c r="F34" s="262">
        <f t="shared" ref="F34:K37" si="5">+E34</f>
        <v>1450000000</v>
      </c>
      <c r="G34" s="262">
        <f t="shared" si="5"/>
        <v>1450000000</v>
      </c>
      <c r="H34" s="262">
        <f t="shared" si="5"/>
        <v>1450000000</v>
      </c>
      <c r="I34" s="262">
        <f t="shared" si="5"/>
        <v>1450000000</v>
      </c>
      <c r="J34" s="262">
        <f t="shared" si="5"/>
        <v>1450000000</v>
      </c>
      <c r="K34" s="262">
        <f t="shared" si="5"/>
        <v>1450000000</v>
      </c>
    </row>
    <row r="35" spans="1:11" ht="15.75" thickBot="1">
      <c r="A35" s="226" t="s">
        <v>319</v>
      </c>
      <c r="B35" s="262">
        <v>0</v>
      </c>
      <c r="C35" s="262">
        <v>0</v>
      </c>
      <c r="D35" s="262">
        <v>0</v>
      </c>
      <c r="E35" s="262">
        <f>+H27</f>
        <v>2222222222.2222223</v>
      </c>
      <c r="F35" s="262">
        <f t="shared" si="5"/>
        <v>2222222222.2222223</v>
      </c>
      <c r="G35" s="262">
        <f t="shared" si="5"/>
        <v>2222222222.2222223</v>
      </c>
      <c r="H35" s="262">
        <f t="shared" si="5"/>
        <v>2222222222.2222223</v>
      </c>
      <c r="I35" s="262">
        <f t="shared" si="5"/>
        <v>2222222222.2222223</v>
      </c>
      <c r="J35" s="262">
        <f t="shared" si="5"/>
        <v>2222222222.2222223</v>
      </c>
      <c r="K35" s="262">
        <f t="shared" si="5"/>
        <v>2222222222.2222223</v>
      </c>
    </row>
    <row r="36" spans="1:11" ht="15.75" thickBot="1">
      <c r="A36" s="226" t="s">
        <v>320</v>
      </c>
      <c r="B36" s="262">
        <v>0</v>
      </c>
      <c r="C36" s="262">
        <v>0</v>
      </c>
      <c r="D36" s="262">
        <v>0</v>
      </c>
      <c r="E36" s="262">
        <v>0</v>
      </c>
      <c r="F36" s="262">
        <v>0</v>
      </c>
      <c r="G36" s="311">
        <f>+H28</f>
        <v>55555555.555555552</v>
      </c>
      <c r="H36" s="311">
        <f t="shared" si="5"/>
        <v>55555555.555555552</v>
      </c>
      <c r="I36" s="311">
        <f t="shared" si="5"/>
        <v>55555555.555555552</v>
      </c>
      <c r="J36" s="311">
        <f t="shared" si="5"/>
        <v>55555555.555555552</v>
      </c>
      <c r="K36" s="311">
        <f t="shared" si="5"/>
        <v>55555555.555555552</v>
      </c>
    </row>
    <row r="37" spans="1:11" ht="15.75" thickBot="1">
      <c r="A37" s="226" t="s">
        <v>321</v>
      </c>
      <c r="B37" s="262">
        <v>0</v>
      </c>
      <c r="C37" s="234">
        <v>0</v>
      </c>
      <c r="D37" s="234">
        <v>0</v>
      </c>
      <c r="E37" s="234">
        <v>0</v>
      </c>
      <c r="F37" s="234">
        <v>0</v>
      </c>
      <c r="G37" s="311">
        <f>+H29</f>
        <v>222222222.22222221</v>
      </c>
      <c r="H37" s="312">
        <f t="shared" si="5"/>
        <v>222222222.22222221</v>
      </c>
      <c r="I37" s="312">
        <f t="shared" si="5"/>
        <v>222222222.22222221</v>
      </c>
      <c r="J37" s="312">
        <f t="shared" si="5"/>
        <v>222222222.22222221</v>
      </c>
      <c r="K37" s="312">
        <f t="shared" si="5"/>
        <v>222222222.22222221</v>
      </c>
    </row>
    <row r="38" spans="1:11" ht="15.75" thickBot="1">
      <c r="A38" s="229" t="s">
        <v>330</v>
      </c>
      <c r="B38" s="263">
        <f t="shared" ref="B38:K38" si="6">SUM(B34:B37)</f>
        <v>0</v>
      </c>
      <c r="C38" s="263">
        <f t="shared" si="6"/>
        <v>0</v>
      </c>
      <c r="D38" s="263">
        <f t="shared" si="6"/>
        <v>1450000000</v>
      </c>
      <c r="E38" s="263">
        <f t="shared" si="6"/>
        <v>3672222222.2222223</v>
      </c>
      <c r="F38" s="263">
        <f t="shared" si="6"/>
        <v>3672222222.2222223</v>
      </c>
      <c r="G38" s="263">
        <f t="shared" si="6"/>
        <v>3950000000</v>
      </c>
      <c r="H38" s="263">
        <f>SUM(H34:H37)</f>
        <v>3950000000</v>
      </c>
      <c r="I38" s="263">
        <f t="shared" si="6"/>
        <v>3950000000</v>
      </c>
      <c r="J38" s="263">
        <f t="shared" si="6"/>
        <v>3950000000</v>
      </c>
      <c r="K38" s="263">
        <f t="shared" si="6"/>
        <v>3950000000</v>
      </c>
    </row>
    <row r="40" spans="1:11">
      <c r="A40" t="s">
        <v>343</v>
      </c>
    </row>
    <row r="41" spans="1:11" ht="15.75" thickBot="1">
      <c r="B41" s="230">
        <v>42887</v>
      </c>
      <c r="C41" s="230">
        <v>43252</v>
      </c>
      <c r="D41" s="266">
        <v>43617</v>
      </c>
      <c r="E41" s="230">
        <v>43983</v>
      </c>
      <c r="F41" s="305">
        <v>44348</v>
      </c>
      <c r="G41" s="230">
        <v>44713</v>
      </c>
      <c r="H41" s="230">
        <v>45078</v>
      </c>
      <c r="I41" s="230">
        <v>45444</v>
      </c>
      <c r="J41" s="230">
        <v>45809</v>
      </c>
      <c r="K41" s="230">
        <v>46174</v>
      </c>
    </row>
    <row r="42" spans="1:11" ht="15.75" thickBot="1">
      <c r="A42" s="227" t="s">
        <v>191</v>
      </c>
      <c r="B42" s="228" t="s">
        <v>229</v>
      </c>
      <c r="C42" s="228" t="s">
        <v>230</v>
      </c>
      <c r="D42" s="228" t="s">
        <v>231</v>
      </c>
      <c r="E42" s="228" t="s">
        <v>232</v>
      </c>
      <c r="F42" s="228" t="s">
        <v>233</v>
      </c>
      <c r="G42" s="228" t="s">
        <v>234</v>
      </c>
      <c r="H42" s="228" t="s">
        <v>235</v>
      </c>
      <c r="I42" s="228" t="s">
        <v>236</v>
      </c>
      <c r="J42" s="228" t="s">
        <v>237</v>
      </c>
      <c r="K42" s="228" t="s">
        <v>238</v>
      </c>
    </row>
    <row r="43" spans="1:11" ht="15.75" thickBot="1">
      <c r="A43" s="226" t="s">
        <v>318</v>
      </c>
      <c r="B43" s="234">
        <v>0</v>
      </c>
      <c r="C43" s="234">
        <f>+C34</f>
        <v>0</v>
      </c>
      <c r="D43" s="234">
        <f t="shared" ref="D43:K43" si="7">+C43+D34</f>
        <v>1450000000</v>
      </c>
      <c r="E43" s="234">
        <f>+D43+E34</f>
        <v>2900000000</v>
      </c>
      <c r="F43" s="234">
        <f t="shared" si="7"/>
        <v>4350000000</v>
      </c>
      <c r="G43" s="234">
        <f t="shared" si="7"/>
        <v>5800000000</v>
      </c>
      <c r="H43" s="234">
        <f t="shared" si="7"/>
        <v>7250000000</v>
      </c>
      <c r="I43" s="234">
        <f t="shared" si="7"/>
        <v>8700000000</v>
      </c>
      <c r="J43" s="234">
        <f t="shared" si="7"/>
        <v>10150000000</v>
      </c>
      <c r="K43" s="234">
        <f t="shared" si="7"/>
        <v>11600000000</v>
      </c>
    </row>
    <row r="44" spans="1:11" ht="15.75" thickBot="1">
      <c r="A44" s="226" t="s">
        <v>319</v>
      </c>
      <c r="B44" s="234">
        <v>0</v>
      </c>
      <c r="C44" s="234">
        <v>0</v>
      </c>
      <c r="D44" s="234">
        <v>0</v>
      </c>
      <c r="E44" s="234">
        <f>+E35</f>
        <v>2222222222.2222223</v>
      </c>
      <c r="F44" s="234">
        <f t="shared" ref="F44:K44" si="8">E44+F35</f>
        <v>4444444444.4444447</v>
      </c>
      <c r="G44" s="234">
        <f t="shared" si="8"/>
        <v>6666666666.666667</v>
      </c>
      <c r="H44" s="234">
        <f t="shared" si="8"/>
        <v>8888888888.8888893</v>
      </c>
      <c r="I44" s="234">
        <f t="shared" si="8"/>
        <v>11111111111.111111</v>
      </c>
      <c r="J44" s="234">
        <f t="shared" si="8"/>
        <v>13333333333.333332</v>
      </c>
      <c r="K44" s="234">
        <f t="shared" si="8"/>
        <v>15555555555.555553</v>
      </c>
    </row>
    <row r="45" spans="1:11" ht="15.75" thickBot="1">
      <c r="A45" s="226" t="s">
        <v>320</v>
      </c>
      <c r="B45" s="234">
        <v>0</v>
      </c>
      <c r="C45" s="234">
        <v>0</v>
      </c>
      <c r="D45" s="234">
        <v>0</v>
      </c>
      <c r="E45" s="234">
        <v>0</v>
      </c>
      <c r="F45" s="234">
        <f>+F36</f>
        <v>0</v>
      </c>
      <c r="G45" s="312">
        <f t="shared" ref="G45:K46" si="9">F45+G36</f>
        <v>55555555.555555552</v>
      </c>
      <c r="H45" s="312">
        <f t="shared" si="9"/>
        <v>111111111.1111111</v>
      </c>
      <c r="I45" s="312">
        <f t="shared" si="9"/>
        <v>166666666.66666666</v>
      </c>
      <c r="J45" s="312">
        <f t="shared" si="9"/>
        <v>222222222.22222221</v>
      </c>
      <c r="K45" s="312">
        <f t="shared" si="9"/>
        <v>277777777.77777779</v>
      </c>
    </row>
    <row r="46" spans="1:11" ht="15.75" thickBot="1">
      <c r="A46" s="226" t="s">
        <v>321</v>
      </c>
      <c r="B46" s="234">
        <v>0</v>
      </c>
      <c r="C46" s="234">
        <v>0</v>
      </c>
      <c r="D46" s="234">
        <v>0</v>
      </c>
      <c r="E46" s="234">
        <v>0</v>
      </c>
      <c r="F46" s="234">
        <f>+F37</f>
        <v>0</v>
      </c>
      <c r="G46" s="312">
        <f t="shared" si="9"/>
        <v>222222222.22222221</v>
      </c>
      <c r="H46" s="312">
        <f t="shared" si="9"/>
        <v>444444444.44444442</v>
      </c>
      <c r="I46" s="312">
        <f t="shared" si="9"/>
        <v>666666666.66666663</v>
      </c>
      <c r="J46" s="312">
        <f t="shared" si="9"/>
        <v>888888888.88888884</v>
      </c>
      <c r="K46" s="312">
        <f t="shared" si="9"/>
        <v>1111111111.1111112</v>
      </c>
    </row>
    <row r="47" spans="1:11" ht="15.75" thickBot="1">
      <c r="A47" s="229" t="s">
        <v>330</v>
      </c>
      <c r="B47" s="263">
        <f t="shared" ref="B47:K47" si="10">SUM(B43:B46)</f>
        <v>0</v>
      </c>
      <c r="C47" s="263">
        <f t="shared" si="10"/>
        <v>0</v>
      </c>
      <c r="D47" s="263">
        <f t="shared" si="10"/>
        <v>1450000000</v>
      </c>
      <c r="E47" s="263">
        <f t="shared" si="10"/>
        <v>5122222222.2222223</v>
      </c>
      <c r="F47" s="263">
        <f t="shared" si="10"/>
        <v>8794444444.4444447</v>
      </c>
      <c r="G47" s="263">
        <f t="shared" si="10"/>
        <v>12744444444.444445</v>
      </c>
      <c r="H47" s="263">
        <f t="shared" si="10"/>
        <v>16694444444.444445</v>
      </c>
      <c r="I47" s="263">
        <f t="shared" si="10"/>
        <v>20644444444.444447</v>
      </c>
      <c r="J47" s="263">
        <f t="shared" si="10"/>
        <v>24594444444.444443</v>
      </c>
      <c r="K47" s="263">
        <f t="shared" si="10"/>
        <v>28544444444.444443</v>
      </c>
    </row>
    <row r="49" spans="1:12">
      <c r="A49" t="s">
        <v>344</v>
      </c>
    </row>
    <row r="50" spans="1:12" ht="15.75" thickBot="1">
      <c r="A50" s="224"/>
      <c r="B50" s="230">
        <v>42887</v>
      </c>
      <c r="C50" s="230">
        <v>43252</v>
      </c>
      <c r="D50" s="266">
        <v>43617</v>
      </c>
      <c r="E50" s="230">
        <v>43983</v>
      </c>
      <c r="F50" s="305">
        <v>44348</v>
      </c>
      <c r="G50" s="230">
        <v>44713</v>
      </c>
      <c r="H50" s="230">
        <v>45078</v>
      </c>
      <c r="I50" s="230">
        <v>45444</v>
      </c>
      <c r="J50" s="230">
        <v>45809</v>
      </c>
      <c r="K50" s="230">
        <v>46174</v>
      </c>
    </row>
    <row r="51" spans="1:12">
      <c r="A51" s="373" t="s">
        <v>191</v>
      </c>
      <c r="B51" s="232" t="s">
        <v>332</v>
      </c>
      <c r="C51" s="232" t="s">
        <v>332</v>
      </c>
      <c r="D51" s="232" t="s">
        <v>332</v>
      </c>
      <c r="E51" s="232" t="s">
        <v>332</v>
      </c>
      <c r="F51" s="232" t="s">
        <v>332</v>
      </c>
      <c r="G51" s="232" t="s">
        <v>332</v>
      </c>
      <c r="H51" s="232" t="s">
        <v>332</v>
      </c>
      <c r="I51" s="232" t="s">
        <v>332</v>
      </c>
      <c r="J51" s="232" t="s">
        <v>332</v>
      </c>
      <c r="K51" s="232" t="s">
        <v>332</v>
      </c>
    </row>
    <row r="52" spans="1:12" ht="15.75" thickBot="1">
      <c r="A52" s="374"/>
      <c r="B52" s="233">
        <v>1</v>
      </c>
      <c r="C52" s="233">
        <v>2</v>
      </c>
      <c r="D52" s="233">
        <v>3</v>
      </c>
      <c r="E52" s="233">
        <v>4</v>
      </c>
      <c r="F52" s="233">
        <v>5</v>
      </c>
      <c r="G52" s="233">
        <v>6</v>
      </c>
      <c r="H52" s="233">
        <v>7</v>
      </c>
      <c r="I52" s="233">
        <v>8</v>
      </c>
      <c r="J52" s="233">
        <v>9</v>
      </c>
      <c r="K52" s="233">
        <v>10</v>
      </c>
    </row>
    <row r="53" spans="1:12" ht="15.75" thickBot="1">
      <c r="A53" s="226" t="s">
        <v>318</v>
      </c>
      <c r="B53" s="234">
        <v>0</v>
      </c>
      <c r="C53" s="234">
        <v>0</v>
      </c>
      <c r="D53" s="234">
        <f>$C$26-D43</f>
        <v>56550000000</v>
      </c>
      <c r="E53" s="234">
        <f t="shared" ref="E53:K53" si="11">$C$26-E43</f>
        <v>55100000000</v>
      </c>
      <c r="F53" s="234">
        <f t="shared" si="11"/>
        <v>53650000000</v>
      </c>
      <c r="G53" s="234">
        <f t="shared" si="11"/>
        <v>52200000000</v>
      </c>
      <c r="H53" s="234">
        <f t="shared" si="11"/>
        <v>50750000000</v>
      </c>
      <c r="I53" s="234">
        <f t="shared" si="11"/>
        <v>49300000000</v>
      </c>
      <c r="J53" s="234">
        <f t="shared" si="11"/>
        <v>47850000000</v>
      </c>
      <c r="K53" s="234">
        <f t="shared" si="11"/>
        <v>46400000000</v>
      </c>
    </row>
    <row r="54" spans="1:12" ht="15.75" thickBot="1">
      <c r="A54" s="226" t="s">
        <v>319</v>
      </c>
      <c r="B54" s="234">
        <v>0</v>
      </c>
      <c r="C54" s="234">
        <v>0</v>
      </c>
      <c r="D54" s="234">
        <v>0</v>
      </c>
      <c r="E54" s="234">
        <f t="shared" ref="E54:K54" si="12">$C$27-E44</f>
        <v>97777777777.777771</v>
      </c>
      <c r="F54" s="234">
        <f t="shared" si="12"/>
        <v>95555555555.555557</v>
      </c>
      <c r="G54" s="234">
        <f t="shared" si="12"/>
        <v>93333333333.333328</v>
      </c>
      <c r="H54" s="234">
        <f t="shared" si="12"/>
        <v>91111111111.111115</v>
      </c>
      <c r="I54" s="234">
        <f t="shared" si="12"/>
        <v>88888888888.888885</v>
      </c>
      <c r="J54" s="234">
        <f t="shared" si="12"/>
        <v>86666666666.666672</v>
      </c>
      <c r="K54" s="234">
        <f t="shared" si="12"/>
        <v>84444444444.444443</v>
      </c>
    </row>
    <row r="55" spans="1:12" ht="15.75" thickBot="1">
      <c r="A55" s="226" t="s">
        <v>320</v>
      </c>
      <c r="B55" s="234">
        <v>0</v>
      </c>
      <c r="C55" s="234">
        <v>0</v>
      </c>
      <c r="D55" s="234">
        <v>0</v>
      </c>
      <c r="E55" s="234">
        <v>0</v>
      </c>
      <c r="F55" s="234">
        <v>0</v>
      </c>
      <c r="G55" s="312">
        <f>$C$28-G45</f>
        <v>2444444444.4444447</v>
      </c>
      <c r="H55" s="312">
        <f t="shared" ref="H55:K55" si="13">$C$28-H45</f>
        <v>2388888888.8888888</v>
      </c>
      <c r="I55" s="312">
        <f t="shared" si="13"/>
        <v>2333333333.3333335</v>
      </c>
      <c r="J55" s="312">
        <f t="shared" si="13"/>
        <v>2277777777.7777777</v>
      </c>
      <c r="K55" s="312">
        <f t="shared" si="13"/>
        <v>2222222222.2222223</v>
      </c>
    </row>
    <row r="56" spans="1:12" ht="15.75" thickBot="1">
      <c r="A56" s="226" t="s">
        <v>321</v>
      </c>
      <c r="B56" s="234">
        <v>0</v>
      </c>
      <c r="C56" s="234">
        <v>0</v>
      </c>
      <c r="D56" s="234">
        <v>0</v>
      </c>
      <c r="E56" s="234">
        <v>0</v>
      </c>
      <c r="F56" s="234">
        <v>0</v>
      </c>
      <c r="G56" s="312">
        <f t="shared" ref="G56:K56" si="14">$C$29-G46</f>
        <v>9777777777.7777786</v>
      </c>
      <c r="H56" s="312">
        <f t="shared" si="14"/>
        <v>9555555555.5555553</v>
      </c>
      <c r="I56" s="312">
        <f t="shared" si="14"/>
        <v>9333333333.333334</v>
      </c>
      <c r="J56" s="312">
        <f t="shared" si="14"/>
        <v>9111111111.1111107</v>
      </c>
      <c r="K56" s="312">
        <f t="shared" si="14"/>
        <v>8888888888.8888893</v>
      </c>
    </row>
    <row r="57" spans="1:12" ht="18.75" thickBot="1">
      <c r="A57" s="236" t="s">
        <v>333</v>
      </c>
      <c r="B57" s="237">
        <f>SUM(B53:B56)</f>
        <v>0</v>
      </c>
      <c r="C57" s="237">
        <f t="shared" ref="C57:K57" si="15">SUM(C53:C56)</f>
        <v>0</v>
      </c>
      <c r="D57" s="237">
        <f t="shared" si="15"/>
        <v>56550000000</v>
      </c>
      <c r="E57" s="237">
        <f t="shared" si="15"/>
        <v>152877777777.77777</v>
      </c>
      <c r="F57" s="237">
        <f t="shared" si="15"/>
        <v>149205555555.55554</v>
      </c>
      <c r="G57" s="237">
        <f t="shared" si="15"/>
        <v>157755555555.55554</v>
      </c>
      <c r="H57" s="237">
        <f t="shared" si="15"/>
        <v>153805555555.55554</v>
      </c>
      <c r="I57" s="237">
        <f t="shared" si="15"/>
        <v>149855555555.55557</v>
      </c>
      <c r="J57" s="237">
        <f t="shared" si="15"/>
        <v>145905555555.55554</v>
      </c>
      <c r="K57" s="237">
        <f t="shared" si="15"/>
        <v>141955555555.55557</v>
      </c>
    </row>
    <row r="59" spans="1:12" ht="15.75" thickBot="1">
      <c r="C59" s="230">
        <v>42887</v>
      </c>
      <c r="D59" s="230">
        <v>43252</v>
      </c>
      <c r="E59" s="266">
        <v>43617</v>
      </c>
      <c r="F59" s="230">
        <v>43983</v>
      </c>
      <c r="G59" s="305">
        <v>44348</v>
      </c>
      <c r="H59" s="230">
        <v>44713</v>
      </c>
      <c r="I59" s="230">
        <v>45078</v>
      </c>
      <c r="J59" s="230">
        <v>45444</v>
      </c>
      <c r="K59" s="230">
        <v>45809</v>
      </c>
      <c r="L59" s="230">
        <v>46174</v>
      </c>
    </row>
    <row r="60" spans="1:12" ht="15.75" thickBot="1">
      <c r="A60" s="238" t="s">
        <v>194</v>
      </c>
      <c r="B60" s="239" t="s">
        <v>335</v>
      </c>
      <c r="C60" s="240">
        <v>1</v>
      </c>
      <c r="D60" s="240">
        <v>2</v>
      </c>
      <c r="E60" s="240">
        <v>3</v>
      </c>
      <c r="F60" s="240">
        <v>4</v>
      </c>
      <c r="G60" s="240">
        <v>5</v>
      </c>
      <c r="H60" s="240">
        <v>6</v>
      </c>
      <c r="I60" s="240">
        <v>7</v>
      </c>
      <c r="J60" s="240">
        <v>8</v>
      </c>
      <c r="K60" s="240">
        <v>9</v>
      </c>
      <c r="L60" s="240">
        <v>10</v>
      </c>
    </row>
    <row r="61" spans="1:12" ht="15.75" thickBot="1">
      <c r="A61" s="241"/>
      <c r="B61" s="209"/>
      <c r="C61" s="242" t="s">
        <v>195</v>
      </c>
      <c r="D61" s="242" t="s">
        <v>196</v>
      </c>
      <c r="E61" s="242" t="s">
        <v>197</v>
      </c>
      <c r="F61" s="242" t="s">
        <v>198</v>
      </c>
      <c r="G61" s="242" t="s">
        <v>199</v>
      </c>
      <c r="H61" s="242" t="s">
        <v>200</v>
      </c>
      <c r="I61" s="242" t="s">
        <v>201</v>
      </c>
      <c r="J61" s="242" t="s">
        <v>202</v>
      </c>
      <c r="K61" s="242" t="s">
        <v>203</v>
      </c>
      <c r="L61" s="242" t="s">
        <v>204</v>
      </c>
    </row>
    <row r="62" spans="1:12" ht="15.75" thickBot="1">
      <c r="A62" s="243" t="s">
        <v>241</v>
      </c>
      <c r="B62" s="264"/>
      <c r="C62" s="234">
        <f>+B38</f>
        <v>0</v>
      </c>
      <c r="D62" s="234">
        <f t="shared" ref="D62:L62" si="16">+C38</f>
        <v>0</v>
      </c>
      <c r="E62" s="234">
        <f>+D38</f>
        <v>1450000000</v>
      </c>
      <c r="F62" s="234">
        <f t="shared" si="16"/>
        <v>3672222222.2222223</v>
      </c>
      <c r="G62" s="234">
        <f t="shared" si="16"/>
        <v>3672222222.2222223</v>
      </c>
      <c r="H62" s="234">
        <f t="shared" si="16"/>
        <v>3950000000</v>
      </c>
      <c r="I62" s="234">
        <f t="shared" si="16"/>
        <v>3950000000</v>
      </c>
      <c r="J62" s="234">
        <f t="shared" si="16"/>
        <v>3950000000</v>
      </c>
      <c r="K62" s="234">
        <f t="shared" si="16"/>
        <v>3950000000</v>
      </c>
      <c r="L62" s="234">
        <f t="shared" si="16"/>
        <v>3950000000</v>
      </c>
    </row>
    <row r="63" spans="1:12" ht="18.75" thickBot="1">
      <c r="A63" s="244" t="s">
        <v>336</v>
      </c>
      <c r="B63" s="264"/>
      <c r="C63" s="234">
        <f>0*B7</f>
        <v>0</v>
      </c>
      <c r="D63" s="234">
        <f>B57*$B$7</f>
        <v>0</v>
      </c>
      <c r="E63" s="234">
        <f>C57*$B$7</f>
        <v>0</v>
      </c>
      <c r="F63" s="234">
        <f t="shared" ref="F63:L63" si="17">D57*$B$7</f>
        <v>6944340000</v>
      </c>
      <c r="G63" s="234">
        <f t="shared" si="17"/>
        <v>18773391111.111111</v>
      </c>
      <c r="H63" s="234">
        <f t="shared" si="17"/>
        <v>18322442222.222221</v>
      </c>
      <c r="I63" s="234">
        <f t="shared" si="17"/>
        <v>19372382222.222221</v>
      </c>
      <c r="J63" s="234">
        <f t="shared" si="17"/>
        <v>18887322222.222221</v>
      </c>
      <c r="K63" s="234">
        <f t="shared" si="17"/>
        <v>18402262222.222225</v>
      </c>
      <c r="L63" s="234">
        <f t="shared" si="17"/>
        <v>17917202222.222221</v>
      </c>
    </row>
    <row r="64" spans="1:12" ht="18.75" thickBot="1">
      <c r="A64" s="245" t="s">
        <v>430</v>
      </c>
      <c r="B64" s="237">
        <f>NPV($B$7,C64:L64)</f>
        <v>65555337012.952538</v>
      </c>
      <c r="C64" s="234">
        <f>C62+C63</f>
        <v>0</v>
      </c>
      <c r="D64" s="234">
        <f t="shared" ref="D64:L64" si="18">D62+D63</f>
        <v>0</v>
      </c>
      <c r="E64" s="234">
        <f>E62+E63</f>
        <v>1450000000</v>
      </c>
      <c r="F64" s="234">
        <f t="shared" si="18"/>
        <v>10616562222.222221</v>
      </c>
      <c r="G64" s="234">
        <f t="shared" si="18"/>
        <v>22445613333.333332</v>
      </c>
      <c r="H64" s="234">
        <f t="shared" si="18"/>
        <v>22272442222.222221</v>
      </c>
      <c r="I64" s="234">
        <f t="shared" si="18"/>
        <v>23322382222.222221</v>
      </c>
      <c r="J64" s="234">
        <f t="shared" si="18"/>
        <v>22837322222.222221</v>
      </c>
      <c r="K64" s="234">
        <f t="shared" si="18"/>
        <v>22352262222.222225</v>
      </c>
      <c r="L64" s="234">
        <f t="shared" si="18"/>
        <v>21867202222.222221</v>
      </c>
    </row>
    <row r="66" spans="1:12">
      <c r="A66" t="s">
        <v>347</v>
      </c>
    </row>
    <row r="67" spans="1:12" ht="15.75" thickBot="1">
      <c r="C67" s="230">
        <v>42887</v>
      </c>
      <c r="D67" s="230">
        <v>43252</v>
      </c>
      <c r="E67" s="266">
        <v>43617</v>
      </c>
      <c r="F67" s="230">
        <v>43983</v>
      </c>
      <c r="G67" s="305">
        <v>44348</v>
      </c>
      <c r="H67" s="230">
        <v>44713</v>
      </c>
      <c r="I67" s="230">
        <v>45078</v>
      </c>
      <c r="J67" s="230">
        <v>45444</v>
      </c>
      <c r="K67" s="230">
        <v>45809</v>
      </c>
      <c r="L67" s="230">
        <v>46174</v>
      </c>
    </row>
    <row r="68" spans="1:12" ht="15.75" thickBot="1">
      <c r="A68" s="238" t="s">
        <v>194</v>
      </c>
      <c r="B68" s="239" t="s">
        <v>335</v>
      </c>
      <c r="C68" s="240">
        <v>1</v>
      </c>
      <c r="D68" s="240">
        <v>2</v>
      </c>
      <c r="E68" s="240">
        <v>3</v>
      </c>
      <c r="F68" s="240">
        <v>4</v>
      </c>
      <c r="G68" s="240">
        <v>5</v>
      </c>
      <c r="H68" s="240">
        <v>6</v>
      </c>
      <c r="I68" s="240">
        <v>7</v>
      </c>
      <c r="J68" s="240">
        <v>8</v>
      </c>
      <c r="K68" s="240">
        <v>9</v>
      </c>
      <c r="L68" s="240">
        <v>10</v>
      </c>
    </row>
    <row r="69" spans="1:12" ht="15.75" thickBot="1">
      <c r="A69" s="241"/>
      <c r="B69" s="209"/>
      <c r="C69" s="242" t="s">
        <v>195</v>
      </c>
      <c r="D69" s="242" t="s">
        <v>196</v>
      </c>
      <c r="E69" s="242" t="s">
        <v>197</v>
      </c>
      <c r="F69" s="242" t="s">
        <v>198</v>
      </c>
      <c r="G69" s="242" t="s">
        <v>199</v>
      </c>
      <c r="H69" s="242" t="s">
        <v>200</v>
      </c>
      <c r="I69" s="242" t="s">
        <v>201</v>
      </c>
      <c r="J69" s="242" t="s">
        <v>202</v>
      </c>
      <c r="K69" s="242" t="s">
        <v>203</v>
      </c>
      <c r="L69" s="242" t="s">
        <v>204</v>
      </c>
    </row>
    <row r="70" spans="1:12" ht="15.75" thickBot="1">
      <c r="A70" s="243" t="s">
        <v>166</v>
      </c>
      <c r="B70" s="264"/>
      <c r="C70" s="332">
        <f>+'Proy de Suscriptores APS1'!D37*95%</f>
        <v>109697.7635</v>
      </c>
      <c r="D70" s="332">
        <f>+'Proy de Suscriptores APS1'!E37*95%</f>
        <v>120127.407375</v>
      </c>
      <c r="E70" s="332">
        <f>+'Proy de Suscriptores APS1'!F37*95%</f>
        <v>127025.02963687497</v>
      </c>
      <c r="F70" s="332">
        <f>+'Proy de Suscriptores APS1'!G37*95%</f>
        <v>130416.61793397187</v>
      </c>
      <c r="G70" s="332">
        <f>+'Proy de Suscriptores APS1'!H37*95%</f>
        <v>133931.35869779406</v>
      </c>
      <c r="H70" s="234"/>
      <c r="I70" s="234"/>
      <c r="J70" s="234"/>
      <c r="K70" s="234"/>
      <c r="L70" s="234"/>
    </row>
    <row r="71" spans="1:12" ht="15.75" thickBot="1">
      <c r="A71" s="244" t="s">
        <v>346</v>
      </c>
      <c r="B71" s="264"/>
      <c r="C71" s="234">
        <f>+'CCP APS 1'!D24</f>
        <v>16.843296165352189</v>
      </c>
      <c r="D71" s="234">
        <f>+'CCP APS 1'!E24</f>
        <v>16.843296165352189</v>
      </c>
      <c r="E71" s="234">
        <f>+'CCP APS 1'!F24</f>
        <v>16.843296165352189</v>
      </c>
      <c r="F71" s="234">
        <f>+'CCP APS 1'!G24</f>
        <v>16.843296165352189</v>
      </c>
      <c r="G71" s="234">
        <f>+'CCP APS 1'!H24</f>
        <v>16.843296165352189</v>
      </c>
      <c r="H71" s="234"/>
      <c r="I71" s="234"/>
      <c r="J71" s="234"/>
      <c r="K71" s="234"/>
      <c r="L71" s="234"/>
    </row>
    <row r="72" spans="1:12" ht="15.75" thickBot="1">
      <c r="A72" s="245" t="s">
        <v>345</v>
      </c>
      <c r="B72" s="237">
        <f>NPV($B$7,C72:G72)</f>
        <v>88900060.706946075</v>
      </c>
      <c r="C72" s="234">
        <f>C70*C71*12</f>
        <v>22172063.031687137</v>
      </c>
      <c r="D72" s="234">
        <f t="shared" ref="D72:L72" si="19">D70*D71*12</f>
        <v>24280097.999916453</v>
      </c>
      <c r="E72" s="234">
        <f t="shared" si="19"/>
        <v>25674242.335038289</v>
      </c>
      <c r="F72" s="234">
        <f t="shared" si="19"/>
        <v>26359748.648945637</v>
      </c>
      <c r="G72" s="234">
        <f t="shared" si="19"/>
        <v>27070146.484499559</v>
      </c>
      <c r="H72" s="234">
        <f t="shared" si="19"/>
        <v>0</v>
      </c>
      <c r="I72" s="234">
        <f t="shared" si="19"/>
        <v>0</v>
      </c>
      <c r="J72" s="234">
        <f t="shared" si="19"/>
        <v>0</v>
      </c>
      <c r="K72" s="234">
        <f t="shared" si="19"/>
        <v>0</v>
      </c>
      <c r="L72" s="234">
        <f t="shared" si="19"/>
        <v>0</v>
      </c>
    </row>
    <row r="74" spans="1:12">
      <c r="A74" t="s">
        <v>426</v>
      </c>
    </row>
    <row r="75" spans="1:12" ht="15.75" thickBot="1"/>
    <row r="76" spans="1:12" ht="15.75" thickBot="1">
      <c r="A76" s="238" t="s">
        <v>429</v>
      </c>
      <c r="B76" s="269">
        <f>+B64</f>
        <v>65555337012.952538</v>
      </c>
    </row>
    <row r="77" spans="1:12" ht="15.75" thickBot="1">
      <c r="A77" s="238" t="s">
        <v>428</v>
      </c>
      <c r="B77" s="269">
        <f>+B72</f>
        <v>88900060.706946075</v>
      </c>
    </row>
    <row r="78" spans="1:12" ht="15.75" thickBot="1">
      <c r="A78" s="238" t="s">
        <v>427</v>
      </c>
      <c r="B78" s="269">
        <f>+'CMI APS1'!B174</f>
        <v>188731068.01998952</v>
      </c>
    </row>
    <row r="79" spans="1:12" ht="15.75" thickBot="1">
      <c r="A79" s="270"/>
      <c r="B79" s="271">
        <f>(B76/B78)*B77</f>
        <v>30879247922.756035</v>
      </c>
    </row>
    <row r="81" spans="1:12">
      <c r="A81" t="s">
        <v>425</v>
      </c>
    </row>
    <row r="82" spans="1:12" ht="15.75" thickBot="1"/>
    <row r="83" spans="1:12" ht="15.75" thickBot="1">
      <c r="B83" s="269">
        <f>+B18</f>
        <v>111292746098.78476</v>
      </c>
    </row>
    <row r="84" spans="1:12" ht="15.75" thickBot="1">
      <c r="B84" s="269">
        <f>+B79</f>
        <v>30879247922.756035</v>
      </c>
    </row>
    <row r="85" spans="1:12" ht="15.75" thickBot="1">
      <c r="A85" s="270"/>
      <c r="B85" s="271">
        <f>B83-B84</f>
        <v>80413498176.028717</v>
      </c>
    </row>
    <row r="87" spans="1:12" ht="18">
      <c r="A87" t="s">
        <v>424</v>
      </c>
    </row>
    <row r="88" spans="1:12" ht="15.75" thickBot="1"/>
    <row r="89" spans="1:12" ht="15.75" thickBot="1">
      <c r="A89" s="339"/>
      <c r="B89" s="269">
        <f>+B85</f>
        <v>80413498176.028717</v>
      </c>
    </row>
    <row r="90" spans="1:12" ht="15.75" thickBot="1">
      <c r="A90" s="238" t="s">
        <v>240</v>
      </c>
      <c r="B90" s="314">
        <v>0.12280000000000001</v>
      </c>
    </row>
    <row r="91" spans="1:12" ht="15.75" thickBot="1">
      <c r="A91" s="238" t="s">
        <v>304</v>
      </c>
      <c r="B91" s="313">
        <f>L92</f>
        <v>5.0694444444444446</v>
      </c>
      <c r="C91" t="s">
        <v>376</v>
      </c>
    </row>
    <row r="92" spans="1:12" ht="15.75" thickBot="1">
      <c r="A92" s="238" t="s">
        <v>316</v>
      </c>
      <c r="B92" s="390">
        <v>82.47</v>
      </c>
      <c r="C92" t="s">
        <v>433</v>
      </c>
      <c r="G92" t="s">
        <v>394</v>
      </c>
      <c r="I92" s="299">
        <v>42552</v>
      </c>
      <c r="J92" s="299">
        <v>44377</v>
      </c>
      <c r="K92" s="135">
        <f>(J92-I92)/30</f>
        <v>60.833333333333336</v>
      </c>
      <c r="L92" s="300">
        <f>K92/12</f>
        <v>5.0694444444444446</v>
      </c>
    </row>
    <row r="93" spans="1:12" ht="15.75" thickBot="1">
      <c r="A93" s="270" t="s">
        <v>423</v>
      </c>
      <c r="B93" s="271">
        <f>B89*((1+0.1228)^B91)</f>
        <v>144655249155.84412</v>
      </c>
      <c r="C93" t="s">
        <v>404</v>
      </c>
    </row>
    <row r="94" spans="1:12">
      <c r="C94" s="211"/>
    </row>
    <row r="95" spans="1:12" s="138" customFormat="1" ht="18.75">
      <c r="A95" s="201"/>
      <c r="B95" s="202" t="s">
        <v>421</v>
      </c>
      <c r="C95" s="201"/>
      <c r="D95" s="201"/>
      <c r="E95" s="201"/>
      <c r="F95" s="201"/>
      <c r="G95" s="201"/>
      <c r="H95" s="201"/>
      <c r="I95" s="201"/>
    </row>
    <row r="96" spans="1:12">
      <c r="C96" s="211"/>
    </row>
    <row r="97" spans="1:13">
      <c r="C97" s="211"/>
    </row>
    <row r="98" spans="1:13" ht="15.75" thickBot="1">
      <c r="A98" s="224"/>
      <c r="B98" s="310">
        <v>44348</v>
      </c>
      <c r="C98" s="309"/>
      <c r="D98" s="276"/>
      <c r="E98" s="276"/>
      <c r="F98" s="276"/>
      <c r="G98" s="276"/>
      <c r="H98" s="276"/>
      <c r="I98" s="276"/>
      <c r="J98" s="276"/>
      <c r="K98" s="276"/>
      <c r="L98" s="276"/>
      <c r="M98" s="17"/>
    </row>
    <row r="99" spans="1:13">
      <c r="A99" s="373" t="s">
        <v>191</v>
      </c>
      <c r="B99" s="383" t="s">
        <v>239</v>
      </c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17"/>
    </row>
    <row r="100" spans="1:13" ht="15.75" thickBot="1">
      <c r="A100" s="374"/>
      <c r="B100" s="384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17"/>
    </row>
    <row r="101" spans="1:13" ht="15.75" thickBot="1">
      <c r="A101" s="225" t="s">
        <v>213</v>
      </c>
      <c r="B101" s="274">
        <f>+'CMI APS1'!G147</f>
        <v>6575191263.0939503</v>
      </c>
      <c r="C101" s="278" t="s">
        <v>207</v>
      </c>
      <c r="D101" s="278"/>
      <c r="E101" s="278"/>
      <c r="F101" s="278"/>
      <c r="G101" s="278"/>
      <c r="H101" s="278"/>
      <c r="I101" s="278"/>
      <c r="J101" s="278"/>
      <c r="K101" s="278"/>
      <c r="L101" s="278"/>
      <c r="M101" s="17"/>
    </row>
    <row r="102" spans="1:13" ht="15.75" thickBot="1">
      <c r="A102" s="225" t="s">
        <v>214</v>
      </c>
      <c r="B102" s="274">
        <f>+'CMI APS1'!G148</f>
        <v>985063897.1273638</v>
      </c>
      <c r="C102" s="278" t="s">
        <v>207</v>
      </c>
      <c r="D102" s="278"/>
      <c r="E102" s="278"/>
      <c r="F102" s="278"/>
      <c r="G102" s="278"/>
      <c r="H102" s="278"/>
      <c r="I102" s="278"/>
      <c r="J102" s="278"/>
      <c r="K102" s="278"/>
      <c r="L102" s="278"/>
      <c r="M102" s="17"/>
    </row>
    <row r="103" spans="1:13" ht="15.75" thickBot="1">
      <c r="A103" s="225" t="s">
        <v>215</v>
      </c>
      <c r="B103" s="274">
        <f>+'CMI APS1'!G149</f>
        <v>1402638828.924891</v>
      </c>
      <c r="C103" s="278" t="s">
        <v>207</v>
      </c>
      <c r="D103" s="278"/>
      <c r="E103" s="278"/>
      <c r="F103" s="278"/>
      <c r="G103" s="278"/>
      <c r="H103" s="278"/>
      <c r="I103" s="278"/>
      <c r="J103" s="278"/>
      <c r="K103" s="278"/>
      <c r="L103" s="278"/>
      <c r="M103" s="17"/>
    </row>
    <row r="104" spans="1:13" ht="15.75" thickBot="1">
      <c r="A104" s="225" t="s">
        <v>216</v>
      </c>
      <c r="B104" s="274">
        <f>+'CMI APS1'!G150</f>
        <v>45895510338.855621</v>
      </c>
      <c r="C104" s="278" t="s">
        <v>207</v>
      </c>
      <c r="D104" s="278"/>
      <c r="E104" s="278"/>
      <c r="F104" s="278"/>
      <c r="G104" s="278"/>
      <c r="H104" s="278"/>
      <c r="I104" s="278"/>
      <c r="J104" s="278"/>
      <c r="K104" s="278"/>
      <c r="L104" s="278"/>
      <c r="M104" s="17"/>
    </row>
    <row r="105" spans="1:13" ht="15.75" thickBot="1">
      <c r="A105" s="225" t="s">
        <v>217</v>
      </c>
      <c r="B105" s="274">
        <f>+'CMI APS1'!G151</f>
        <v>10178808640.287621</v>
      </c>
      <c r="C105" s="278" t="s">
        <v>207</v>
      </c>
      <c r="D105" s="278"/>
      <c r="E105" s="278"/>
      <c r="F105" s="278"/>
      <c r="G105" s="278"/>
      <c r="H105" s="278"/>
      <c r="I105" s="278"/>
      <c r="J105" s="278"/>
      <c r="K105" s="278"/>
      <c r="L105" s="278"/>
      <c r="M105" s="17"/>
    </row>
    <row r="106" spans="1:13" ht="15.75" thickBot="1">
      <c r="A106" s="225" t="s">
        <v>218</v>
      </c>
      <c r="B106" s="274">
        <f>+'CMI APS1'!G152</f>
        <v>2639561038.7131386</v>
      </c>
      <c r="C106" s="278" t="s">
        <v>207</v>
      </c>
      <c r="D106" s="278"/>
      <c r="E106" s="278"/>
      <c r="F106" s="278"/>
      <c r="G106" s="278"/>
      <c r="H106" s="278"/>
      <c r="I106" s="278"/>
      <c r="J106" s="278"/>
      <c r="K106" s="278"/>
      <c r="L106" s="278"/>
      <c r="M106" s="17"/>
    </row>
    <row r="107" spans="1:13" ht="15.75" thickBot="1">
      <c r="A107" s="226" t="s">
        <v>192</v>
      </c>
      <c r="B107" s="274">
        <f>+'CMI APS1'!G153</f>
        <v>25215716.735449515</v>
      </c>
      <c r="C107" s="278" t="s">
        <v>328</v>
      </c>
      <c r="D107" s="278"/>
      <c r="E107" s="278"/>
      <c r="F107" s="278"/>
      <c r="G107" s="278"/>
      <c r="H107" s="278"/>
      <c r="I107" s="278"/>
      <c r="J107" s="278"/>
      <c r="K107" s="278"/>
      <c r="L107" s="278"/>
      <c r="M107" s="17"/>
    </row>
    <row r="108" spans="1:13" ht="15.75" thickBot="1">
      <c r="A108" s="226" t="s">
        <v>313</v>
      </c>
      <c r="B108" s="274">
        <f>+'CMI APS1'!G154</f>
        <v>19609897.095757939</v>
      </c>
      <c r="C108" s="278" t="s">
        <v>328</v>
      </c>
      <c r="D108" s="278"/>
      <c r="E108" s="278"/>
      <c r="F108" s="278"/>
      <c r="G108" s="278"/>
      <c r="H108" s="278"/>
      <c r="I108" s="278"/>
      <c r="J108" s="278"/>
      <c r="K108" s="278"/>
      <c r="L108" s="278"/>
      <c r="M108" s="17"/>
    </row>
    <row r="109" spans="1:13" ht="15.75" thickBot="1">
      <c r="A109" s="225" t="s">
        <v>193</v>
      </c>
      <c r="B109" s="274">
        <f>+'CMI APS1'!G155</f>
        <v>12431934.762593713</v>
      </c>
      <c r="C109" s="278" t="s">
        <v>328</v>
      </c>
      <c r="D109" s="278"/>
      <c r="E109" s="278"/>
      <c r="F109" s="278"/>
      <c r="G109" s="278"/>
      <c r="H109" s="278"/>
      <c r="I109" s="278"/>
      <c r="J109" s="278"/>
      <c r="K109" s="278"/>
      <c r="L109" s="278"/>
      <c r="M109" s="17"/>
    </row>
    <row r="110" spans="1:13" ht="15.75" thickBot="1">
      <c r="A110" s="226" t="s">
        <v>313</v>
      </c>
      <c r="B110" s="274">
        <f>+'CMI APS1'!G156</f>
        <v>10733337.462651791</v>
      </c>
      <c r="C110" s="278" t="s">
        <v>328</v>
      </c>
      <c r="D110" s="278"/>
      <c r="E110" s="278"/>
      <c r="F110" s="278"/>
      <c r="G110" s="278"/>
      <c r="H110" s="278"/>
      <c r="I110" s="278"/>
      <c r="J110" s="278"/>
      <c r="K110" s="278"/>
      <c r="L110" s="278"/>
      <c r="M110" s="17"/>
    </row>
    <row r="111" spans="1:13" ht="15.75" thickBot="1">
      <c r="A111" s="236" t="s">
        <v>368</v>
      </c>
      <c r="B111" s="275">
        <f>SUM(B101:B110)</f>
        <v>67744764893.059052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17"/>
    </row>
    <row r="112" spans="1:13">
      <c r="C112" s="211"/>
      <c r="F112" s="17"/>
      <c r="G112" s="17"/>
      <c r="H112" s="17"/>
      <c r="I112" s="17"/>
      <c r="J112" s="17"/>
      <c r="K112" s="17"/>
      <c r="L112" s="17"/>
      <c r="M112" s="17"/>
    </row>
    <row r="113" spans="1:9">
      <c r="C113" s="211"/>
    </row>
    <row r="114" spans="1:9" s="138" customFormat="1" ht="18.75">
      <c r="A114" s="201"/>
      <c r="B114" s="202" t="s">
        <v>420</v>
      </c>
      <c r="C114" s="201"/>
      <c r="D114" s="201"/>
      <c r="E114" s="201"/>
      <c r="F114" s="201"/>
      <c r="G114" s="201"/>
      <c r="H114" s="201"/>
      <c r="I114" s="201"/>
    </row>
    <row r="115" spans="1:9">
      <c r="C115" s="211"/>
    </row>
    <row r="116" spans="1:9" ht="15.75" thickBot="1">
      <c r="C116" s="211"/>
    </row>
    <row r="117" spans="1:9">
      <c r="A117" s="385" t="s">
        <v>191</v>
      </c>
      <c r="B117" s="387" t="s">
        <v>419</v>
      </c>
      <c r="C117" s="211"/>
    </row>
    <row r="118" spans="1:9" ht="15.75" thickBot="1">
      <c r="A118" s="386"/>
      <c r="B118" s="388"/>
      <c r="C118" s="211"/>
    </row>
    <row r="119" spans="1:9">
      <c r="A119" s="225" t="s">
        <v>213</v>
      </c>
      <c r="B119" s="321">
        <f t="shared" ref="B119:B128" si="20">+B101</f>
        <v>6575191263.0939503</v>
      </c>
      <c r="C119" s="211" t="s">
        <v>207</v>
      </c>
    </row>
    <row r="120" spans="1:9">
      <c r="A120" s="225" t="s">
        <v>214</v>
      </c>
      <c r="B120" s="322">
        <f t="shared" si="20"/>
        <v>985063897.1273638</v>
      </c>
      <c r="C120" s="211" t="s">
        <v>207</v>
      </c>
    </row>
    <row r="121" spans="1:9">
      <c r="A121" s="225" t="s">
        <v>215</v>
      </c>
      <c r="B121" s="322">
        <f t="shared" si="20"/>
        <v>1402638828.924891</v>
      </c>
      <c r="C121" s="211" t="s">
        <v>207</v>
      </c>
    </row>
    <row r="122" spans="1:9">
      <c r="A122" s="225" t="s">
        <v>216</v>
      </c>
      <c r="B122" s="322">
        <f t="shared" si="20"/>
        <v>45895510338.855621</v>
      </c>
      <c r="C122" s="211" t="s">
        <v>207</v>
      </c>
    </row>
    <row r="123" spans="1:9">
      <c r="A123" s="225" t="s">
        <v>217</v>
      </c>
      <c r="B123" s="322">
        <f t="shared" si="20"/>
        <v>10178808640.287621</v>
      </c>
      <c r="C123" s="211" t="s">
        <v>207</v>
      </c>
    </row>
    <row r="124" spans="1:9">
      <c r="A124" s="225" t="s">
        <v>218</v>
      </c>
      <c r="B124" s="322">
        <f t="shared" si="20"/>
        <v>2639561038.7131386</v>
      </c>
      <c r="C124" s="211" t="s">
        <v>207</v>
      </c>
    </row>
    <row r="125" spans="1:9">
      <c r="A125" s="226" t="s">
        <v>192</v>
      </c>
      <c r="B125" s="322">
        <f t="shared" si="20"/>
        <v>25215716.735449515</v>
      </c>
      <c r="C125" s="211" t="s">
        <v>328</v>
      </c>
    </row>
    <row r="126" spans="1:9">
      <c r="A126" s="226" t="s">
        <v>313</v>
      </c>
      <c r="B126" s="322">
        <f t="shared" si="20"/>
        <v>19609897.095757939</v>
      </c>
      <c r="C126" s="211" t="s">
        <v>328</v>
      </c>
    </row>
    <row r="127" spans="1:9">
      <c r="A127" s="225" t="s">
        <v>193</v>
      </c>
      <c r="B127" s="322">
        <f t="shared" si="20"/>
        <v>12431934.762593713</v>
      </c>
      <c r="C127" s="211" t="s">
        <v>328</v>
      </c>
    </row>
    <row r="128" spans="1:9">
      <c r="A128" s="226" t="s">
        <v>313</v>
      </c>
      <c r="B128" s="322">
        <f t="shared" si="20"/>
        <v>10733337.462651791</v>
      </c>
      <c r="C128" s="211" t="s">
        <v>328</v>
      </c>
    </row>
    <row r="129" spans="1:12" ht="18">
      <c r="A129" s="328" t="s">
        <v>350</v>
      </c>
      <c r="B129" s="333">
        <f>M12</f>
        <v>53818679067.147652</v>
      </c>
      <c r="C129" s="211" t="s">
        <v>422</v>
      </c>
    </row>
    <row r="130" spans="1:12" ht="18">
      <c r="A130" s="323" t="s">
        <v>351</v>
      </c>
      <c r="B130" s="333">
        <f>M13</f>
        <v>82642345901.176315</v>
      </c>
      <c r="C130" s="211" t="s">
        <v>422</v>
      </c>
    </row>
    <row r="131" spans="1:12" ht="15.75" thickBot="1">
      <c r="A131" s="324" t="s">
        <v>352</v>
      </c>
      <c r="B131" s="325">
        <f>SUM(B119:B130)</f>
        <v>204205789861.383</v>
      </c>
      <c r="C131" s="211"/>
    </row>
    <row r="132" spans="1:12">
      <c r="C132" s="211"/>
    </row>
    <row r="133" spans="1:12" s="138" customFormat="1" ht="15.75">
      <c r="A133" s="201"/>
      <c r="B133" s="306" t="s">
        <v>397</v>
      </c>
    </row>
    <row r="134" spans="1:12" ht="15.75" thickBot="1">
      <c r="B134" s="307"/>
      <c r="C134" s="305">
        <v>44713</v>
      </c>
      <c r="D134" s="230">
        <v>45078</v>
      </c>
      <c r="E134" s="230">
        <v>45444</v>
      </c>
      <c r="F134" s="230">
        <v>45809</v>
      </c>
      <c r="G134" s="230">
        <v>46174</v>
      </c>
      <c r="H134" s="230">
        <v>46539</v>
      </c>
      <c r="I134" s="230">
        <v>46905</v>
      </c>
      <c r="J134" s="230">
        <v>47270</v>
      </c>
      <c r="K134" s="230">
        <v>47635</v>
      </c>
      <c r="L134" s="230">
        <v>48000</v>
      </c>
    </row>
    <row r="135" spans="1:12" ht="15.75" thickBot="1">
      <c r="A135" s="220" t="s">
        <v>211</v>
      </c>
      <c r="B135" s="221" t="s">
        <v>317</v>
      </c>
      <c r="C135" s="221" t="s">
        <v>195</v>
      </c>
      <c r="D135" s="221" t="s">
        <v>196</v>
      </c>
      <c r="E135" s="221" t="s">
        <v>197</v>
      </c>
      <c r="F135" s="221" t="s">
        <v>198</v>
      </c>
      <c r="G135" s="221" t="s">
        <v>199</v>
      </c>
      <c r="H135" s="221" t="s">
        <v>200</v>
      </c>
      <c r="I135" s="221" t="s">
        <v>201</v>
      </c>
      <c r="J135" s="221" t="s">
        <v>202</v>
      </c>
      <c r="K135" s="221" t="s">
        <v>203</v>
      </c>
      <c r="L135" s="221" t="s">
        <v>204</v>
      </c>
    </row>
    <row r="136" spans="1:12">
      <c r="A136" s="222" t="s">
        <v>320</v>
      </c>
      <c r="B136" s="253">
        <f t="shared" ref="B136:B137" si="21">SUM(C136:L136)</f>
        <v>2500000000</v>
      </c>
      <c r="C136" s="254">
        <v>0</v>
      </c>
      <c r="D136" s="253">
        <v>2500000000</v>
      </c>
      <c r="E136" s="254">
        <v>0</v>
      </c>
      <c r="F136" s="254">
        <v>0</v>
      </c>
      <c r="G136" s="254">
        <v>0</v>
      </c>
      <c r="H136" s="254">
        <v>0</v>
      </c>
      <c r="I136" s="254">
        <v>0</v>
      </c>
      <c r="J136" s="254">
        <v>0</v>
      </c>
      <c r="K136" s="254">
        <v>0</v>
      </c>
      <c r="L136" s="254">
        <v>0</v>
      </c>
    </row>
    <row r="137" spans="1:12" ht="15.75" thickBot="1">
      <c r="A137" s="222" t="s">
        <v>321</v>
      </c>
      <c r="B137" s="253">
        <f t="shared" si="21"/>
        <v>100000000000</v>
      </c>
      <c r="C137" s="254">
        <v>0</v>
      </c>
      <c r="D137" s="280">
        <v>100000000000</v>
      </c>
      <c r="E137" s="235">
        <v>0</v>
      </c>
      <c r="F137" s="235">
        <v>0</v>
      </c>
      <c r="G137" s="235">
        <v>0</v>
      </c>
      <c r="H137" s="235">
        <v>0</v>
      </c>
      <c r="I137" s="235">
        <v>0</v>
      </c>
      <c r="J137" s="235">
        <v>0</v>
      </c>
      <c r="K137" s="235">
        <v>0</v>
      </c>
      <c r="L137" s="235">
        <v>0</v>
      </c>
    </row>
    <row r="138" spans="1:12" ht="15.75" thickBot="1">
      <c r="A138" s="223" t="s">
        <v>377</v>
      </c>
      <c r="B138" s="256">
        <f>SUM(B136:B137)</f>
        <v>102500000000</v>
      </c>
      <c r="C138" s="257">
        <f t="shared" ref="C138:H138" si="22">SUM(C136:C137)</f>
        <v>0</v>
      </c>
      <c r="D138" s="256">
        <f>SUM(D136:D137)</f>
        <v>102500000000</v>
      </c>
      <c r="E138" s="257">
        <f t="shared" si="22"/>
        <v>0</v>
      </c>
      <c r="F138" s="257">
        <f t="shared" si="22"/>
        <v>0</v>
      </c>
      <c r="G138" s="257">
        <f t="shared" si="22"/>
        <v>0</v>
      </c>
      <c r="H138" s="257">
        <f t="shared" si="22"/>
        <v>0</v>
      </c>
      <c r="I138" s="257">
        <f>SUM(I136:I137)</f>
        <v>0</v>
      </c>
      <c r="J138" s="257">
        <f>SUM(J136:J137)</f>
        <v>0</v>
      </c>
      <c r="K138" s="257">
        <f>SUM(K136:K137)</f>
        <v>0</v>
      </c>
      <c r="L138" s="257">
        <f>SUM(L136:L137)</f>
        <v>0</v>
      </c>
    </row>
    <row r="139" spans="1:12">
      <c r="C139" s="211"/>
    </row>
    <row r="140" spans="1:12">
      <c r="C140" s="211"/>
    </row>
    <row r="141" spans="1:12" s="138" customFormat="1" ht="15.75">
      <c r="A141" s="201"/>
      <c r="B141" s="202" t="s">
        <v>327</v>
      </c>
      <c r="C141" s="201"/>
      <c r="D141" s="201"/>
      <c r="E141" s="201"/>
      <c r="F141" s="201"/>
      <c r="G141" s="201"/>
      <c r="H141" s="201"/>
      <c r="I141" s="201"/>
    </row>
    <row r="142" spans="1:12">
      <c r="C142" s="211"/>
    </row>
    <row r="143" spans="1:12" ht="15.75" thickBot="1">
      <c r="C143" s="211"/>
    </row>
    <row r="144" spans="1:12">
      <c r="A144" s="371" t="s">
        <v>206</v>
      </c>
      <c r="B144" s="371" t="s">
        <v>191</v>
      </c>
      <c r="C144" s="377"/>
      <c r="D144" s="371" t="s">
        <v>323</v>
      </c>
      <c r="E144" s="371" t="s">
        <v>324</v>
      </c>
      <c r="F144" s="371" t="s">
        <v>325</v>
      </c>
      <c r="G144" s="379"/>
      <c r="H144" s="369" t="s">
        <v>326</v>
      </c>
    </row>
    <row r="145" spans="1:9">
      <c r="A145" s="372"/>
      <c r="B145" s="372"/>
      <c r="C145" s="378"/>
      <c r="D145" s="372"/>
      <c r="E145" s="372"/>
      <c r="F145" s="372"/>
      <c r="G145" s="380"/>
      <c r="H145" s="370"/>
    </row>
    <row r="146" spans="1:9">
      <c r="A146" s="225" t="s">
        <v>353</v>
      </c>
      <c r="B146" s="225" t="str">
        <f t="shared" ref="B146:C157" si="23">+A119</f>
        <v>Bocatoma Superficial</v>
      </c>
      <c r="C146" s="258">
        <f t="shared" si="23"/>
        <v>6575191263.0939503</v>
      </c>
      <c r="D146" s="259">
        <v>33</v>
      </c>
      <c r="E146" s="260">
        <v>38322</v>
      </c>
      <c r="F146" s="259">
        <v>13.5</v>
      </c>
      <c r="G146" s="259">
        <f>D146-F146</f>
        <v>19.5</v>
      </c>
      <c r="H146" s="258">
        <f>C146/G146</f>
        <v>337189295.54327953</v>
      </c>
      <c r="I146" s="211" t="s">
        <v>207</v>
      </c>
    </row>
    <row r="147" spans="1:9">
      <c r="A147" s="225" t="s">
        <v>353</v>
      </c>
      <c r="B147" s="225" t="str">
        <f t="shared" si="23"/>
        <v>Desarenador</v>
      </c>
      <c r="C147" s="258">
        <f t="shared" si="23"/>
        <v>985063897.1273638</v>
      </c>
      <c r="D147" s="259">
        <v>45</v>
      </c>
      <c r="E147" s="260">
        <v>38322</v>
      </c>
      <c r="F147" s="259">
        <v>13.5</v>
      </c>
      <c r="G147" s="259">
        <f>D147-F147</f>
        <v>31.5</v>
      </c>
      <c r="H147" s="258">
        <f t="shared" ref="H147:H159" si="24">C147/G147</f>
        <v>31271869.750075042</v>
      </c>
      <c r="I147" s="211" t="s">
        <v>207</v>
      </c>
    </row>
    <row r="148" spans="1:9">
      <c r="A148" s="225" t="s">
        <v>353</v>
      </c>
      <c r="B148" s="225" t="str">
        <f t="shared" si="23"/>
        <v>Tratamiento para Agua Potable - Planta Convencional</v>
      </c>
      <c r="C148" s="258">
        <f t="shared" si="23"/>
        <v>1402638828.924891</v>
      </c>
      <c r="D148" s="259">
        <v>40</v>
      </c>
      <c r="E148" s="260">
        <v>38322</v>
      </c>
      <c r="F148" s="259">
        <v>13.5</v>
      </c>
      <c r="G148" s="259">
        <f t="shared" ref="G148:G159" si="25">D148-F148</f>
        <v>26.5</v>
      </c>
      <c r="H148" s="258">
        <f t="shared" si="24"/>
        <v>52929767.129241168</v>
      </c>
      <c r="I148" s="211" t="s">
        <v>207</v>
      </c>
    </row>
    <row r="149" spans="1:9">
      <c r="A149" s="225" t="s">
        <v>353</v>
      </c>
      <c r="B149" s="225" t="str">
        <f t="shared" si="23"/>
        <v>Estacion de Bombeo de Agua Potable</v>
      </c>
      <c r="C149" s="258">
        <f t="shared" si="23"/>
        <v>45895510338.855621</v>
      </c>
      <c r="D149" s="259">
        <v>25</v>
      </c>
      <c r="E149" s="260">
        <v>38687</v>
      </c>
      <c r="F149" s="259">
        <v>12.5</v>
      </c>
      <c r="G149" s="259">
        <f t="shared" si="25"/>
        <v>12.5</v>
      </c>
      <c r="H149" s="258">
        <f t="shared" si="24"/>
        <v>3671640827.1084499</v>
      </c>
      <c r="I149" s="211" t="s">
        <v>207</v>
      </c>
    </row>
    <row r="150" spans="1:9">
      <c r="A150" s="225" t="s">
        <v>353</v>
      </c>
      <c r="B150" s="225" t="str">
        <f t="shared" si="23"/>
        <v>Tanque Superficial</v>
      </c>
      <c r="C150" s="258">
        <f t="shared" si="23"/>
        <v>10178808640.287621</v>
      </c>
      <c r="D150" s="259">
        <v>45</v>
      </c>
      <c r="E150" s="260">
        <v>38412</v>
      </c>
      <c r="F150" s="259">
        <v>12.3</v>
      </c>
      <c r="G150" s="259">
        <f t="shared" si="25"/>
        <v>32.700000000000003</v>
      </c>
      <c r="H150" s="258">
        <f t="shared" si="24"/>
        <v>311278551.69075292</v>
      </c>
      <c r="I150" s="211" t="s">
        <v>207</v>
      </c>
    </row>
    <row r="151" spans="1:9">
      <c r="A151" s="225" t="s">
        <v>353</v>
      </c>
      <c r="B151" s="225" t="str">
        <f t="shared" si="23"/>
        <v>Red de Acueducto D=12"</v>
      </c>
      <c r="C151" s="258">
        <f t="shared" si="23"/>
        <v>2639561038.7131386</v>
      </c>
      <c r="D151" s="259">
        <v>45</v>
      </c>
      <c r="E151" s="260">
        <v>38687</v>
      </c>
      <c r="F151" s="259">
        <v>12.5</v>
      </c>
      <c r="G151" s="259">
        <f t="shared" si="25"/>
        <v>32.5</v>
      </c>
      <c r="H151" s="258">
        <f t="shared" si="24"/>
        <v>81217262.72963503</v>
      </c>
      <c r="I151" s="211" t="s">
        <v>207</v>
      </c>
    </row>
    <row r="152" spans="1:9">
      <c r="A152" s="225" t="s">
        <v>353</v>
      </c>
      <c r="B152" s="225" t="str">
        <f t="shared" si="23"/>
        <v>Planta_ap_1</v>
      </c>
      <c r="C152" s="258">
        <f t="shared" si="23"/>
        <v>25215716.735449515</v>
      </c>
      <c r="D152" s="259">
        <v>40</v>
      </c>
      <c r="E152" s="260">
        <v>37591</v>
      </c>
      <c r="F152" s="259">
        <v>15.5</v>
      </c>
      <c r="G152" s="259">
        <f t="shared" si="25"/>
        <v>24.5</v>
      </c>
      <c r="H152" s="258">
        <f t="shared" si="24"/>
        <v>1029212.9279775312</v>
      </c>
      <c r="I152" s="211" t="s">
        <v>328</v>
      </c>
    </row>
    <row r="153" spans="1:9">
      <c r="A153" s="225" t="s">
        <v>353</v>
      </c>
      <c r="B153" s="225" t="str">
        <f t="shared" si="23"/>
        <v>Tubería distribución</v>
      </c>
      <c r="C153" s="258">
        <f t="shared" si="23"/>
        <v>19609897.095757939</v>
      </c>
      <c r="D153" s="259">
        <v>45</v>
      </c>
      <c r="E153" s="260">
        <v>37591</v>
      </c>
      <c r="F153" s="259">
        <v>15.5</v>
      </c>
      <c r="G153" s="259">
        <f t="shared" si="25"/>
        <v>29.5</v>
      </c>
      <c r="H153" s="258">
        <f t="shared" si="24"/>
        <v>664742.27443247254</v>
      </c>
      <c r="I153" s="211" t="s">
        <v>328</v>
      </c>
    </row>
    <row r="154" spans="1:9">
      <c r="A154" s="225" t="s">
        <v>353</v>
      </c>
      <c r="B154" s="281" t="str">
        <f t="shared" si="23"/>
        <v>Terrenos</v>
      </c>
      <c r="C154" s="282">
        <f t="shared" si="23"/>
        <v>12431934.762593713</v>
      </c>
      <c r="D154" s="259">
        <v>0</v>
      </c>
      <c r="E154" s="260"/>
      <c r="F154" s="259">
        <v>0</v>
      </c>
      <c r="G154" s="259">
        <v>0</v>
      </c>
      <c r="H154" s="258">
        <v>0</v>
      </c>
      <c r="I154" s="211" t="s">
        <v>328</v>
      </c>
    </row>
    <row r="155" spans="1:9">
      <c r="A155" s="225" t="s">
        <v>353</v>
      </c>
      <c r="B155" s="225" t="str">
        <f t="shared" si="23"/>
        <v>Tubería distribución</v>
      </c>
      <c r="C155" s="258">
        <f t="shared" si="23"/>
        <v>10733337.462651791</v>
      </c>
      <c r="D155" s="259">
        <v>45</v>
      </c>
      <c r="E155" s="260">
        <v>41974</v>
      </c>
      <c r="F155" s="259">
        <v>3.5</v>
      </c>
      <c r="G155" s="259">
        <f t="shared" si="25"/>
        <v>41.5</v>
      </c>
      <c r="H155" s="258">
        <f t="shared" si="24"/>
        <v>258634.63765426003</v>
      </c>
      <c r="I155" s="211" t="s">
        <v>328</v>
      </c>
    </row>
    <row r="156" spans="1:9">
      <c r="A156" s="225" t="s">
        <v>353</v>
      </c>
      <c r="B156" s="225" t="str">
        <f t="shared" si="23"/>
        <v>Planta ap 2: Expansión_POIR 688</v>
      </c>
      <c r="C156" s="258">
        <f t="shared" si="23"/>
        <v>53818679067.147652</v>
      </c>
      <c r="D156" s="259">
        <v>40</v>
      </c>
      <c r="E156" s="260">
        <v>43070</v>
      </c>
      <c r="F156" s="259">
        <v>1.5</v>
      </c>
      <c r="G156" s="259">
        <f t="shared" si="25"/>
        <v>38.5</v>
      </c>
      <c r="H156" s="258">
        <f t="shared" si="24"/>
        <v>1397887767.9778612</v>
      </c>
      <c r="I156" s="211" t="s">
        <v>399</v>
      </c>
    </row>
    <row r="157" spans="1:9">
      <c r="A157" s="225" t="s">
        <v>353</v>
      </c>
      <c r="B157" s="225" t="str">
        <f t="shared" si="23"/>
        <v>Tubería distribución Expansión_POIR 688</v>
      </c>
      <c r="C157" s="258">
        <f t="shared" si="23"/>
        <v>82642345901.176315</v>
      </c>
      <c r="D157" s="259">
        <v>45</v>
      </c>
      <c r="E157" s="260">
        <v>43435</v>
      </c>
      <c r="F157" s="259">
        <v>0.5</v>
      </c>
      <c r="G157" s="259">
        <f t="shared" si="25"/>
        <v>44.5</v>
      </c>
      <c r="H157" s="258">
        <f t="shared" si="24"/>
        <v>1857131368.5657599</v>
      </c>
      <c r="I157" s="211" t="s">
        <v>399</v>
      </c>
    </row>
    <row r="158" spans="1:9">
      <c r="A158" s="225" t="s">
        <v>378</v>
      </c>
      <c r="B158" s="225" t="str">
        <f>+A136</f>
        <v>Tubería transporte: Reposición</v>
      </c>
      <c r="C158" s="258">
        <f>+B136</f>
        <v>2500000000</v>
      </c>
      <c r="D158" s="259">
        <v>45</v>
      </c>
      <c r="E158" s="327">
        <v>44896</v>
      </c>
      <c r="F158" s="259">
        <v>0</v>
      </c>
      <c r="G158" s="259">
        <f t="shared" si="25"/>
        <v>45</v>
      </c>
      <c r="H158" s="258">
        <f t="shared" si="24"/>
        <v>55555555.555555552</v>
      </c>
      <c r="I158" s="211" t="s">
        <v>378</v>
      </c>
    </row>
    <row r="159" spans="1:9">
      <c r="A159" s="225" t="s">
        <v>378</v>
      </c>
      <c r="B159" s="225" t="str">
        <f>+A137</f>
        <v>Tubería distribución: Rehabilitación</v>
      </c>
      <c r="C159" s="258">
        <f>+B137</f>
        <v>100000000000</v>
      </c>
      <c r="D159" s="259">
        <v>45</v>
      </c>
      <c r="E159" s="327">
        <v>44896</v>
      </c>
      <c r="F159" s="259">
        <v>0</v>
      </c>
      <c r="G159" s="259">
        <f t="shared" si="25"/>
        <v>45</v>
      </c>
      <c r="H159" s="258">
        <f t="shared" si="24"/>
        <v>2222222222.2222223</v>
      </c>
      <c r="I159" s="211" t="s">
        <v>378</v>
      </c>
    </row>
    <row r="161" spans="1:12" ht="15.75" thickBot="1"/>
    <row r="162" spans="1:12" ht="15.75" thickBot="1">
      <c r="A162" s="227" t="s">
        <v>372</v>
      </c>
    </row>
    <row r="164" spans="1:12" ht="15.75" thickBot="1">
      <c r="B164" s="305">
        <v>44713</v>
      </c>
      <c r="C164" s="230">
        <v>45078</v>
      </c>
      <c r="D164" s="230">
        <v>45444</v>
      </c>
      <c r="E164" s="230">
        <v>45809</v>
      </c>
      <c r="F164" s="230">
        <v>46174</v>
      </c>
      <c r="G164" s="230">
        <v>46539</v>
      </c>
      <c r="H164" s="230">
        <v>46905</v>
      </c>
      <c r="I164" s="230">
        <v>47270</v>
      </c>
      <c r="J164" s="230">
        <v>47635</v>
      </c>
      <c r="K164" s="230">
        <v>48000</v>
      </c>
    </row>
    <row r="165" spans="1:12" ht="15.75" thickBot="1">
      <c r="A165" s="227" t="s">
        <v>191</v>
      </c>
      <c r="B165" s="228" t="s">
        <v>219</v>
      </c>
      <c r="C165" s="228" t="s">
        <v>220</v>
      </c>
      <c r="D165" s="228" t="s">
        <v>221</v>
      </c>
      <c r="E165" s="228" t="s">
        <v>222</v>
      </c>
      <c r="F165" s="228" t="s">
        <v>223</v>
      </c>
      <c r="G165" s="228" t="s">
        <v>224</v>
      </c>
      <c r="H165" s="228" t="s">
        <v>225</v>
      </c>
      <c r="I165" s="228" t="s">
        <v>226</v>
      </c>
      <c r="J165" s="228" t="s">
        <v>227</v>
      </c>
      <c r="K165" s="228" t="s">
        <v>228</v>
      </c>
    </row>
    <row r="166" spans="1:12" ht="15.75" thickBot="1">
      <c r="A166" s="225" t="s">
        <v>213</v>
      </c>
      <c r="B166" s="234">
        <f>+H146</f>
        <v>337189295.54327953</v>
      </c>
      <c r="C166" s="234">
        <f t="shared" ref="C166:C176" si="26">+B166</f>
        <v>337189295.54327953</v>
      </c>
      <c r="D166" s="234">
        <f t="shared" ref="D166:K174" si="27">+C166</f>
        <v>337189295.54327953</v>
      </c>
      <c r="E166" s="234">
        <f t="shared" si="27"/>
        <v>337189295.54327953</v>
      </c>
      <c r="F166" s="234">
        <f t="shared" si="27"/>
        <v>337189295.54327953</v>
      </c>
      <c r="G166" s="234">
        <f t="shared" si="27"/>
        <v>337189295.54327953</v>
      </c>
      <c r="H166" s="234">
        <f t="shared" si="27"/>
        <v>337189295.54327953</v>
      </c>
      <c r="I166" s="234">
        <f t="shared" si="27"/>
        <v>337189295.54327953</v>
      </c>
      <c r="J166" s="234">
        <f t="shared" si="27"/>
        <v>337189295.54327953</v>
      </c>
      <c r="K166" s="234">
        <f t="shared" si="27"/>
        <v>337189295.54327953</v>
      </c>
      <c r="L166" s="211" t="s">
        <v>207</v>
      </c>
    </row>
    <row r="167" spans="1:12" ht="15.75" thickBot="1">
      <c r="A167" s="225" t="s">
        <v>214</v>
      </c>
      <c r="B167" s="262">
        <f t="shared" ref="B167:B173" si="28">+H147</f>
        <v>31271869.750075042</v>
      </c>
      <c r="C167" s="262">
        <f t="shared" si="26"/>
        <v>31271869.750075042</v>
      </c>
      <c r="D167" s="262">
        <f t="shared" si="27"/>
        <v>31271869.750075042</v>
      </c>
      <c r="E167" s="262">
        <f t="shared" si="27"/>
        <v>31271869.750075042</v>
      </c>
      <c r="F167" s="262">
        <f t="shared" si="27"/>
        <v>31271869.750075042</v>
      </c>
      <c r="G167" s="262">
        <f t="shared" si="27"/>
        <v>31271869.750075042</v>
      </c>
      <c r="H167" s="262">
        <f t="shared" si="27"/>
        <v>31271869.750075042</v>
      </c>
      <c r="I167" s="262">
        <f t="shared" si="27"/>
        <v>31271869.750075042</v>
      </c>
      <c r="J167" s="262">
        <f t="shared" si="27"/>
        <v>31271869.750075042</v>
      </c>
      <c r="K167" s="262">
        <f t="shared" si="27"/>
        <v>31271869.750075042</v>
      </c>
      <c r="L167" s="211" t="s">
        <v>207</v>
      </c>
    </row>
    <row r="168" spans="1:12" ht="15.75" thickBot="1">
      <c r="A168" s="225" t="s">
        <v>215</v>
      </c>
      <c r="B168" s="262">
        <f t="shared" si="28"/>
        <v>52929767.129241168</v>
      </c>
      <c r="C168" s="262">
        <f t="shared" si="26"/>
        <v>52929767.129241168</v>
      </c>
      <c r="D168" s="262">
        <f t="shared" si="27"/>
        <v>52929767.129241168</v>
      </c>
      <c r="E168" s="262">
        <f t="shared" si="27"/>
        <v>52929767.129241168</v>
      </c>
      <c r="F168" s="262">
        <f t="shared" si="27"/>
        <v>52929767.129241168</v>
      </c>
      <c r="G168" s="262">
        <f t="shared" si="27"/>
        <v>52929767.129241168</v>
      </c>
      <c r="H168" s="262">
        <f t="shared" si="27"/>
        <v>52929767.129241168</v>
      </c>
      <c r="I168" s="262">
        <f t="shared" si="27"/>
        <v>52929767.129241168</v>
      </c>
      <c r="J168" s="262">
        <f t="shared" si="27"/>
        <v>52929767.129241168</v>
      </c>
      <c r="K168" s="262">
        <f t="shared" si="27"/>
        <v>52929767.129241168</v>
      </c>
      <c r="L168" s="211" t="s">
        <v>207</v>
      </c>
    </row>
    <row r="169" spans="1:12" ht="15.75" thickBot="1">
      <c r="A169" s="225" t="s">
        <v>216</v>
      </c>
      <c r="B169" s="262">
        <f t="shared" si="28"/>
        <v>3671640827.1084499</v>
      </c>
      <c r="C169" s="262">
        <f t="shared" si="26"/>
        <v>3671640827.1084499</v>
      </c>
      <c r="D169" s="262">
        <f t="shared" si="27"/>
        <v>3671640827.1084499</v>
      </c>
      <c r="E169" s="262">
        <f t="shared" si="27"/>
        <v>3671640827.1084499</v>
      </c>
      <c r="F169" s="262">
        <f t="shared" si="27"/>
        <v>3671640827.1084499</v>
      </c>
      <c r="G169" s="262">
        <f t="shared" si="27"/>
        <v>3671640827.1084499</v>
      </c>
      <c r="H169" s="262">
        <f t="shared" si="27"/>
        <v>3671640827.1084499</v>
      </c>
      <c r="I169" s="262">
        <f t="shared" si="27"/>
        <v>3671640827.1084499</v>
      </c>
      <c r="J169" s="262">
        <f t="shared" si="27"/>
        <v>3671640827.1084499</v>
      </c>
      <c r="K169" s="262">
        <f t="shared" si="27"/>
        <v>3671640827.1084499</v>
      </c>
      <c r="L169" s="211" t="s">
        <v>207</v>
      </c>
    </row>
    <row r="170" spans="1:12" ht="15.75" thickBot="1">
      <c r="A170" s="225" t="s">
        <v>217</v>
      </c>
      <c r="B170" s="262">
        <f>+H150</f>
        <v>311278551.69075292</v>
      </c>
      <c r="C170" s="262">
        <f t="shared" si="26"/>
        <v>311278551.69075292</v>
      </c>
      <c r="D170" s="262">
        <f t="shared" si="27"/>
        <v>311278551.69075292</v>
      </c>
      <c r="E170" s="262">
        <f t="shared" si="27"/>
        <v>311278551.69075292</v>
      </c>
      <c r="F170" s="262">
        <f t="shared" si="27"/>
        <v>311278551.69075292</v>
      </c>
      <c r="G170" s="262">
        <f t="shared" si="27"/>
        <v>311278551.69075292</v>
      </c>
      <c r="H170" s="262">
        <f t="shared" si="27"/>
        <v>311278551.69075292</v>
      </c>
      <c r="I170" s="262">
        <f t="shared" si="27"/>
        <v>311278551.69075292</v>
      </c>
      <c r="J170" s="262">
        <f t="shared" si="27"/>
        <v>311278551.69075292</v>
      </c>
      <c r="K170" s="262">
        <f t="shared" si="27"/>
        <v>311278551.69075292</v>
      </c>
      <c r="L170" s="211" t="s">
        <v>207</v>
      </c>
    </row>
    <row r="171" spans="1:12" ht="15.75" thickBot="1">
      <c r="A171" s="225" t="s">
        <v>218</v>
      </c>
      <c r="B171" s="262">
        <f t="shared" si="28"/>
        <v>81217262.72963503</v>
      </c>
      <c r="C171" s="262">
        <f t="shared" si="26"/>
        <v>81217262.72963503</v>
      </c>
      <c r="D171" s="262">
        <f t="shared" si="27"/>
        <v>81217262.72963503</v>
      </c>
      <c r="E171" s="262">
        <f t="shared" si="27"/>
        <v>81217262.72963503</v>
      </c>
      <c r="F171" s="262">
        <f t="shared" si="27"/>
        <v>81217262.72963503</v>
      </c>
      <c r="G171" s="262">
        <f t="shared" si="27"/>
        <v>81217262.72963503</v>
      </c>
      <c r="H171" s="262">
        <f t="shared" si="27"/>
        <v>81217262.72963503</v>
      </c>
      <c r="I171" s="262">
        <f t="shared" si="27"/>
        <v>81217262.72963503</v>
      </c>
      <c r="J171" s="262">
        <f t="shared" si="27"/>
        <v>81217262.72963503</v>
      </c>
      <c r="K171" s="262">
        <f t="shared" si="27"/>
        <v>81217262.72963503</v>
      </c>
      <c r="L171" s="211" t="s">
        <v>207</v>
      </c>
    </row>
    <row r="172" spans="1:12" ht="15.75" thickBot="1">
      <c r="A172" s="226" t="s">
        <v>192</v>
      </c>
      <c r="B172" s="262">
        <f t="shared" si="28"/>
        <v>1029212.9279775312</v>
      </c>
      <c r="C172" s="262">
        <f t="shared" si="26"/>
        <v>1029212.9279775312</v>
      </c>
      <c r="D172" s="262">
        <f t="shared" si="27"/>
        <v>1029212.9279775312</v>
      </c>
      <c r="E172" s="262">
        <f t="shared" si="27"/>
        <v>1029212.9279775312</v>
      </c>
      <c r="F172" s="262">
        <f t="shared" si="27"/>
        <v>1029212.9279775312</v>
      </c>
      <c r="G172" s="262">
        <f t="shared" si="27"/>
        <v>1029212.9279775312</v>
      </c>
      <c r="H172" s="262">
        <f t="shared" si="27"/>
        <v>1029212.9279775312</v>
      </c>
      <c r="I172" s="262">
        <f t="shared" si="27"/>
        <v>1029212.9279775312</v>
      </c>
      <c r="J172" s="262">
        <f t="shared" si="27"/>
        <v>1029212.9279775312</v>
      </c>
      <c r="K172" s="262">
        <f t="shared" si="27"/>
        <v>1029212.9279775312</v>
      </c>
      <c r="L172" s="211" t="s">
        <v>328</v>
      </c>
    </row>
    <row r="173" spans="1:12" ht="15.75" thickBot="1">
      <c r="A173" s="226" t="s">
        <v>313</v>
      </c>
      <c r="B173" s="234">
        <f t="shared" si="28"/>
        <v>664742.27443247254</v>
      </c>
      <c r="C173" s="234">
        <f t="shared" si="26"/>
        <v>664742.27443247254</v>
      </c>
      <c r="D173" s="234">
        <f t="shared" si="27"/>
        <v>664742.27443247254</v>
      </c>
      <c r="E173" s="234">
        <f t="shared" si="27"/>
        <v>664742.27443247254</v>
      </c>
      <c r="F173" s="234">
        <f t="shared" si="27"/>
        <v>664742.27443247254</v>
      </c>
      <c r="G173" s="234">
        <f t="shared" si="27"/>
        <v>664742.27443247254</v>
      </c>
      <c r="H173" s="234">
        <f t="shared" si="27"/>
        <v>664742.27443247254</v>
      </c>
      <c r="I173" s="234">
        <f t="shared" si="27"/>
        <v>664742.27443247254</v>
      </c>
      <c r="J173" s="234">
        <f t="shared" si="27"/>
        <v>664742.27443247254</v>
      </c>
      <c r="K173" s="234">
        <f t="shared" si="27"/>
        <v>664742.27443247254</v>
      </c>
      <c r="L173" s="211" t="s">
        <v>328</v>
      </c>
    </row>
    <row r="174" spans="1:12" ht="15.75" thickBot="1">
      <c r="A174" s="226" t="s">
        <v>313</v>
      </c>
      <c r="B174" s="234">
        <f>+H155</f>
        <v>258634.63765426003</v>
      </c>
      <c r="C174" s="234">
        <f t="shared" si="26"/>
        <v>258634.63765426003</v>
      </c>
      <c r="D174" s="234">
        <f t="shared" si="27"/>
        <v>258634.63765426003</v>
      </c>
      <c r="E174" s="234">
        <f t="shared" si="27"/>
        <v>258634.63765426003</v>
      </c>
      <c r="F174" s="234">
        <f t="shared" si="27"/>
        <v>258634.63765426003</v>
      </c>
      <c r="G174" s="234">
        <f t="shared" si="27"/>
        <v>258634.63765426003</v>
      </c>
      <c r="H174" s="234">
        <f t="shared" si="27"/>
        <v>258634.63765426003</v>
      </c>
      <c r="I174" s="234">
        <f t="shared" si="27"/>
        <v>258634.63765426003</v>
      </c>
      <c r="J174" s="234">
        <f t="shared" si="27"/>
        <v>258634.63765426003</v>
      </c>
      <c r="K174" s="234">
        <f t="shared" si="27"/>
        <v>258634.63765426003</v>
      </c>
      <c r="L174" s="211" t="s">
        <v>328</v>
      </c>
    </row>
    <row r="175" spans="1:12" ht="15.75" thickBot="1">
      <c r="A175" s="226" t="s">
        <v>318</v>
      </c>
      <c r="B175" s="262">
        <f>+H156</f>
        <v>1397887767.9778612</v>
      </c>
      <c r="C175" s="262">
        <f t="shared" si="26"/>
        <v>1397887767.9778612</v>
      </c>
      <c r="D175" s="262">
        <f t="shared" ref="D175:K175" si="29">+C175</f>
        <v>1397887767.9778612</v>
      </c>
      <c r="E175" s="262">
        <f t="shared" si="29"/>
        <v>1397887767.9778612</v>
      </c>
      <c r="F175" s="262">
        <f t="shared" si="29"/>
        <v>1397887767.9778612</v>
      </c>
      <c r="G175" s="262">
        <f t="shared" si="29"/>
        <v>1397887767.9778612</v>
      </c>
      <c r="H175" s="262">
        <f t="shared" si="29"/>
        <v>1397887767.9778612</v>
      </c>
      <c r="I175" s="262">
        <f t="shared" si="29"/>
        <v>1397887767.9778612</v>
      </c>
      <c r="J175" s="262">
        <f t="shared" si="29"/>
        <v>1397887767.9778612</v>
      </c>
      <c r="K175" s="262">
        <f t="shared" si="29"/>
        <v>1397887767.9778612</v>
      </c>
      <c r="L175" s="211" t="s">
        <v>399</v>
      </c>
    </row>
    <row r="176" spans="1:12" ht="15.75" thickBot="1">
      <c r="A176" s="226" t="s">
        <v>319</v>
      </c>
      <c r="B176" s="262">
        <f>+H157</f>
        <v>1857131368.5657599</v>
      </c>
      <c r="C176" s="262">
        <f t="shared" si="26"/>
        <v>1857131368.5657599</v>
      </c>
      <c r="D176" s="262">
        <f t="shared" ref="D176:K176" si="30">+C176</f>
        <v>1857131368.5657599</v>
      </c>
      <c r="E176" s="262">
        <f t="shared" si="30"/>
        <v>1857131368.5657599</v>
      </c>
      <c r="F176" s="262">
        <f t="shared" si="30"/>
        <v>1857131368.5657599</v>
      </c>
      <c r="G176" s="262">
        <f t="shared" si="30"/>
        <v>1857131368.5657599</v>
      </c>
      <c r="H176" s="262">
        <f t="shared" si="30"/>
        <v>1857131368.5657599</v>
      </c>
      <c r="I176" s="262">
        <f t="shared" si="30"/>
        <v>1857131368.5657599</v>
      </c>
      <c r="J176" s="262">
        <f t="shared" si="30"/>
        <v>1857131368.5657599</v>
      </c>
      <c r="K176" s="262">
        <f t="shared" si="30"/>
        <v>1857131368.5657599</v>
      </c>
      <c r="L176" s="211" t="s">
        <v>399</v>
      </c>
    </row>
    <row r="177" spans="1:12" ht="15.75" thickBot="1">
      <c r="A177" s="226" t="s">
        <v>320</v>
      </c>
      <c r="B177" s="330"/>
      <c r="C177" s="330"/>
      <c r="D177" s="311">
        <f>+H158</f>
        <v>55555555.555555552</v>
      </c>
      <c r="E177" s="311">
        <f t="shared" ref="E177:K177" si="31">+D177</f>
        <v>55555555.555555552</v>
      </c>
      <c r="F177" s="311">
        <f t="shared" si="31"/>
        <v>55555555.555555552</v>
      </c>
      <c r="G177" s="311">
        <f t="shared" si="31"/>
        <v>55555555.555555552</v>
      </c>
      <c r="H177" s="311">
        <f t="shared" si="31"/>
        <v>55555555.555555552</v>
      </c>
      <c r="I177" s="311">
        <f t="shared" si="31"/>
        <v>55555555.555555552</v>
      </c>
      <c r="J177" s="311">
        <f t="shared" si="31"/>
        <v>55555555.555555552</v>
      </c>
      <c r="K177" s="311">
        <f t="shared" si="31"/>
        <v>55555555.555555552</v>
      </c>
      <c r="L177" s="211" t="s">
        <v>378</v>
      </c>
    </row>
    <row r="178" spans="1:12" ht="15.75" thickBot="1">
      <c r="A178" s="226" t="s">
        <v>321</v>
      </c>
      <c r="B178" s="326"/>
      <c r="C178" s="326"/>
      <c r="D178" s="311">
        <f>+H159</f>
        <v>2222222222.2222223</v>
      </c>
      <c r="E178" s="312">
        <f t="shared" ref="E178:K178" si="32">+D178</f>
        <v>2222222222.2222223</v>
      </c>
      <c r="F178" s="312">
        <f t="shared" si="32"/>
        <v>2222222222.2222223</v>
      </c>
      <c r="G178" s="312">
        <f t="shared" si="32"/>
        <v>2222222222.2222223</v>
      </c>
      <c r="H178" s="312">
        <f t="shared" si="32"/>
        <v>2222222222.2222223</v>
      </c>
      <c r="I178" s="312">
        <f t="shared" si="32"/>
        <v>2222222222.2222223</v>
      </c>
      <c r="J178" s="312">
        <f t="shared" si="32"/>
        <v>2222222222.2222223</v>
      </c>
      <c r="K178" s="312">
        <f t="shared" si="32"/>
        <v>2222222222.2222223</v>
      </c>
      <c r="L178" s="211" t="s">
        <v>378</v>
      </c>
    </row>
    <row r="179" spans="1:12" ht="15.75" thickBot="1">
      <c r="A179" s="229" t="s">
        <v>330</v>
      </c>
      <c r="B179" s="263">
        <f>SUM(B166:B178)</f>
        <v>7742499300.3351192</v>
      </c>
      <c r="C179" s="263">
        <f t="shared" ref="C179:K179" si="33">SUM(C166:C178)</f>
        <v>7742499300.3351192</v>
      </c>
      <c r="D179" s="263">
        <f t="shared" si="33"/>
        <v>10020277078.112896</v>
      </c>
      <c r="E179" s="263">
        <f t="shared" si="33"/>
        <v>10020277078.112896</v>
      </c>
      <c r="F179" s="263">
        <f t="shared" si="33"/>
        <v>10020277078.112896</v>
      </c>
      <c r="G179" s="263">
        <f t="shared" si="33"/>
        <v>10020277078.112896</v>
      </c>
      <c r="H179" s="263">
        <f t="shared" si="33"/>
        <v>10020277078.112896</v>
      </c>
      <c r="I179" s="263">
        <f t="shared" si="33"/>
        <v>10020277078.112896</v>
      </c>
      <c r="J179" s="263">
        <f t="shared" si="33"/>
        <v>10020277078.112896</v>
      </c>
      <c r="K179" s="263">
        <f t="shared" si="33"/>
        <v>10020277078.112896</v>
      </c>
    </row>
    <row r="181" spans="1:12" ht="15.75" thickBot="1"/>
    <row r="182" spans="1:12" ht="15.75" thickBot="1">
      <c r="A182" s="227" t="s">
        <v>373</v>
      </c>
    </row>
    <row r="185" spans="1:12" ht="15.75" thickBot="1">
      <c r="A185" s="224"/>
      <c r="B185" s="305">
        <v>44713</v>
      </c>
      <c r="C185" s="230">
        <v>45078</v>
      </c>
      <c r="D185" s="230">
        <v>45444</v>
      </c>
      <c r="E185" s="230">
        <v>45809</v>
      </c>
      <c r="F185" s="230">
        <v>46174</v>
      </c>
      <c r="G185" s="230">
        <v>46539</v>
      </c>
      <c r="H185" s="230">
        <v>46905</v>
      </c>
      <c r="I185" s="230">
        <v>47270</v>
      </c>
      <c r="J185" s="230">
        <v>47635</v>
      </c>
      <c r="K185" s="230">
        <v>48000</v>
      </c>
    </row>
    <row r="186" spans="1:12" ht="15.75" thickBot="1">
      <c r="A186" s="227" t="s">
        <v>191</v>
      </c>
      <c r="B186" s="228" t="s">
        <v>229</v>
      </c>
      <c r="C186" s="228" t="s">
        <v>230</v>
      </c>
      <c r="D186" s="228" t="s">
        <v>231</v>
      </c>
      <c r="E186" s="228" t="s">
        <v>232</v>
      </c>
      <c r="F186" s="228" t="s">
        <v>233</v>
      </c>
      <c r="G186" s="228" t="s">
        <v>234</v>
      </c>
      <c r="H186" s="228" t="s">
        <v>235</v>
      </c>
      <c r="I186" s="228" t="s">
        <v>236</v>
      </c>
      <c r="J186" s="228" t="s">
        <v>237</v>
      </c>
      <c r="K186" s="228" t="s">
        <v>238</v>
      </c>
    </row>
    <row r="187" spans="1:12" ht="15.75" thickBot="1">
      <c r="A187" s="225" t="s">
        <v>213</v>
      </c>
      <c r="B187" s="234">
        <f>+B166</f>
        <v>337189295.54327953</v>
      </c>
      <c r="C187" s="234">
        <f>B187+C166</f>
        <v>674378591.08655906</v>
      </c>
      <c r="D187" s="234">
        <f t="shared" ref="D187:K187" si="34">C187+D166</f>
        <v>1011567886.6298386</v>
      </c>
      <c r="E187" s="234">
        <f t="shared" si="34"/>
        <v>1348757182.1731181</v>
      </c>
      <c r="F187" s="234">
        <f t="shared" si="34"/>
        <v>1685946477.7163978</v>
      </c>
      <c r="G187" s="234">
        <f t="shared" si="34"/>
        <v>2023135773.2596774</v>
      </c>
      <c r="H187" s="234">
        <f t="shared" si="34"/>
        <v>2360325068.8029571</v>
      </c>
      <c r="I187" s="234">
        <f t="shared" si="34"/>
        <v>2697514364.3462367</v>
      </c>
      <c r="J187" s="234">
        <f t="shared" si="34"/>
        <v>3034703659.8895164</v>
      </c>
      <c r="K187" s="234">
        <f t="shared" si="34"/>
        <v>3371892955.432796</v>
      </c>
      <c r="L187" s="211" t="s">
        <v>207</v>
      </c>
    </row>
    <row r="188" spans="1:12" ht="15.75" thickBot="1">
      <c r="A188" s="225" t="s">
        <v>214</v>
      </c>
      <c r="B188" s="234">
        <f t="shared" ref="B188:B197" si="35">+B167</f>
        <v>31271869.750075042</v>
      </c>
      <c r="C188" s="234">
        <f t="shared" ref="C188:K199" si="36">B188+C167</f>
        <v>62543739.500150084</v>
      </c>
      <c r="D188" s="234">
        <f t="shared" si="36"/>
        <v>93815609.250225127</v>
      </c>
      <c r="E188" s="234">
        <f t="shared" si="36"/>
        <v>125087479.00030017</v>
      </c>
      <c r="F188" s="234">
        <f t="shared" si="36"/>
        <v>156359348.75037521</v>
      </c>
      <c r="G188" s="234">
        <f t="shared" si="36"/>
        <v>187631218.50045025</v>
      </c>
      <c r="H188" s="234">
        <f t="shared" si="36"/>
        <v>218903088.2505253</v>
      </c>
      <c r="I188" s="234">
        <f t="shared" si="36"/>
        <v>250174958.00060034</v>
      </c>
      <c r="J188" s="234">
        <f t="shared" si="36"/>
        <v>281446827.75067538</v>
      </c>
      <c r="K188" s="234">
        <f t="shared" si="36"/>
        <v>312718697.50075042</v>
      </c>
      <c r="L188" s="211" t="s">
        <v>207</v>
      </c>
    </row>
    <row r="189" spans="1:12" ht="15.75" thickBot="1">
      <c r="A189" s="225" t="s">
        <v>215</v>
      </c>
      <c r="B189" s="234">
        <f t="shared" si="35"/>
        <v>52929767.129241168</v>
      </c>
      <c r="C189" s="234">
        <f t="shared" si="36"/>
        <v>105859534.25848234</v>
      </c>
      <c r="D189" s="234">
        <f t="shared" si="36"/>
        <v>158789301.38772351</v>
      </c>
      <c r="E189" s="234">
        <f t="shared" si="36"/>
        <v>211719068.51696467</v>
      </c>
      <c r="F189" s="234">
        <f t="shared" si="36"/>
        <v>264648835.64620584</v>
      </c>
      <c r="G189" s="234">
        <f t="shared" si="36"/>
        <v>317578602.77544701</v>
      </c>
      <c r="H189" s="234">
        <f t="shared" si="36"/>
        <v>370508369.90468818</v>
      </c>
      <c r="I189" s="234">
        <f t="shared" si="36"/>
        <v>423438137.03392935</v>
      </c>
      <c r="J189" s="234">
        <f t="shared" si="36"/>
        <v>476367904.16317052</v>
      </c>
      <c r="K189" s="234">
        <f t="shared" si="36"/>
        <v>529297671.29241168</v>
      </c>
      <c r="L189" s="211" t="s">
        <v>207</v>
      </c>
    </row>
    <row r="190" spans="1:12" ht="15.75" thickBot="1">
      <c r="A190" s="225" t="s">
        <v>216</v>
      </c>
      <c r="B190" s="234">
        <f t="shared" si="35"/>
        <v>3671640827.1084499</v>
      </c>
      <c r="C190" s="234">
        <f t="shared" si="36"/>
        <v>7343281654.2168999</v>
      </c>
      <c r="D190" s="234">
        <f t="shared" si="36"/>
        <v>11014922481.32535</v>
      </c>
      <c r="E190" s="234">
        <f t="shared" si="36"/>
        <v>14686563308.4338</v>
      </c>
      <c r="F190" s="234">
        <f t="shared" si="36"/>
        <v>18358204135.542252</v>
      </c>
      <c r="G190" s="234">
        <f t="shared" si="36"/>
        <v>22029844962.650703</v>
      </c>
      <c r="H190" s="234">
        <f t="shared" si="36"/>
        <v>25701485789.759155</v>
      </c>
      <c r="I190" s="234">
        <f t="shared" si="36"/>
        <v>29373126616.867607</v>
      </c>
      <c r="J190" s="234">
        <f t="shared" si="36"/>
        <v>33044767443.976059</v>
      </c>
      <c r="K190" s="234">
        <f t="shared" si="36"/>
        <v>36716408271.084511</v>
      </c>
      <c r="L190" s="211" t="s">
        <v>207</v>
      </c>
    </row>
    <row r="191" spans="1:12" ht="15.75" thickBot="1">
      <c r="A191" s="225" t="s">
        <v>217</v>
      </c>
      <c r="B191" s="234">
        <f t="shared" si="35"/>
        <v>311278551.69075292</v>
      </c>
      <c r="C191" s="234">
        <f t="shared" si="36"/>
        <v>622557103.38150585</v>
      </c>
      <c r="D191" s="234">
        <f t="shared" si="36"/>
        <v>933835655.07225871</v>
      </c>
      <c r="E191" s="234">
        <f t="shared" si="36"/>
        <v>1245114206.7630117</v>
      </c>
      <c r="F191" s="234">
        <f t="shared" si="36"/>
        <v>1556392758.4537647</v>
      </c>
      <c r="G191" s="234">
        <f t="shared" si="36"/>
        <v>1867671310.1445177</v>
      </c>
      <c r="H191" s="234">
        <f t="shared" si="36"/>
        <v>2178949861.8352704</v>
      </c>
      <c r="I191" s="234">
        <f t="shared" si="36"/>
        <v>2490228413.5260234</v>
      </c>
      <c r="J191" s="234">
        <f t="shared" si="36"/>
        <v>2801506965.2167764</v>
      </c>
      <c r="K191" s="234">
        <f t="shared" si="36"/>
        <v>3112785516.9075294</v>
      </c>
      <c r="L191" s="211" t="s">
        <v>207</v>
      </c>
    </row>
    <row r="192" spans="1:12" ht="15.75" thickBot="1">
      <c r="A192" s="225" t="s">
        <v>218</v>
      </c>
      <c r="B192" s="234">
        <f t="shared" si="35"/>
        <v>81217262.72963503</v>
      </c>
      <c r="C192" s="234">
        <f t="shared" si="36"/>
        <v>162434525.45927006</v>
      </c>
      <c r="D192" s="234">
        <f t="shared" si="36"/>
        <v>243651788.18890509</v>
      </c>
      <c r="E192" s="234">
        <f t="shared" si="36"/>
        <v>324869050.91854012</v>
      </c>
      <c r="F192" s="234">
        <f t="shared" si="36"/>
        <v>406086313.64817512</v>
      </c>
      <c r="G192" s="234">
        <f t="shared" si="36"/>
        <v>487303576.37781012</v>
      </c>
      <c r="H192" s="234">
        <f t="shared" si="36"/>
        <v>568520839.10744512</v>
      </c>
      <c r="I192" s="234">
        <f t="shared" si="36"/>
        <v>649738101.83708012</v>
      </c>
      <c r="J192" s="234">
        <f t="shared" si="36"/>
        <v>730955364.56671512</v>
      </c>
      <c r="K192" s="234">
        <f t="shared" si="36"/>
        <v>812172627.29635012</v>
      </c>
      <c r="L192" s="211" t="s">
        <v>207</v>
      </c>
    </row>
    <row r="193" spans="1:13" ht="15.75" thickBot="1">
      <c r="A193" s="226" t="s">
        <v>192</v>
      </c>
      <c r="B193" s="234">
        <f t="shared" si="35"/>
        <v>1029212.9279775312</v>
      </c>
      <c r="C193" s="234">
        <f t="shared" si="36"/>
        <v>2058425.8559550624</v>
      </c>
      <c r="D193" s="234">
        <f t="shared" si="36"/>
        <v>3087638.7839325937</v>
      </c>
      <c r="E193" s="234">
        <f t="shared" si="36"/>
        <v>4116851.7119101249</v>
      </c>
      <c r="F193" s="234">
        <f t="shared" si="36"/>
        <v>5146064.6398876561</v>
      </c>
      <c r="G193" s="234">
        <f t="shared" si="36"/>
        <v>6175277.5678651873</v>
      </c>
      <c r="H193" s="234">
        <f t="shared" si="36"/>
        <v>7204490.4958427185</v>
      </c>
      <c r="I193" s="234">
        <f t="shared" si="36"/>
        <v>8233703.4238202497</v>
      </c>
      <c r="J193" s="234">
        <f t="shared" si="36"/>
        <v>9262916.3517977819</v>
      </c>
      <c r="K193" s="234">
        <f t="shared" si="36"/>
        <v>10292129.279775314</v>
      </c>
      <c r="L193" s="211" t="s">
        <v>328</v>
      </c>
    </row>
    <row r="194" spans="1:13" ht="15.75" thickBot="1">
      <c r="A194" s="226" t="s">
        <v>313</v>
      </c>
      <c r="B194" s="234">
        <f t="shared" si="35"/>
        <v>664742.27443247254</v>
      </c>
      <c r="C194" s="234">
        <f t="shared" si="36"/>
        <v>1329484.5488649451</v>
      </c>
      <c r="D194" s="234">
        <f t="shared" si="36"/>
        <v>1994226.8232974177</v>
      </c>
      <c r="E194" s="234">
        <f t="shared" si="36"/>
        <v>2658969.0977298901</v>
      </c>
      <c r="F194" s="234">
        <f t="shared" si="36"/>
        <v>3323711.3721623626</v>
      </c>
      <c r="G194" s="234">
        <f t="shared" si="36"/>
        <v>3988453.646594835</v>
      </c>
      <c r="H194" s="234">
        <f t="shared" si="36"/>
        <v>4653195.9210273074</v>
      </c>
      <c r="I194" s="234">
        <f t="shared" si="36"/>
        <v>5317938.1954597803</v>
      </c>
      <c r="J194" s="234">
        <f t="shared" si="36"/>
        <v>5982680.4698922532</v>
      </c>
      <c r="K194" s="234">
        <f t="shared" si="36"/>
        <v>6647422.7443247261</v>
      </c>
      <c r="L194" s="211" t="s">
        <v>328</v>
      </c>
    </row>
    <row r="195" spans="1:13" ht="15.75" thickBot="1">
      <c r="A195" s="226" t="s">
        <v>313</v>
      </c>
      <c r="B195" s="234">
        <f t="shared" si="35"/>
        <v>258634.63765426003</v>
      </c>
      <c r="C195" s="234">
        <f t="shared" si="36"/>
        <v>517269.27530852007</v>
      </c>
      <c r="D195" s="234">
        <f t="shared" si="36"/>
        <v>775903.9129627801</v>
      </c>
      <c r="E195" s="234">
        <f t="shared" si="36"/>
        <v>1034538.5506170401</v>
      </c>
      <c r="F195" s="234">
        <f t="shared" si="36"/>
        <v>1293173.1882713002</v>
      </c>
      <c r="G195" s="234">
        <f t="shared" si="36"/>
        <v>1551807.8259255602</v>
      </c>
      <c r="H195" s="234">
        <f t="shared" si="36"/>
        <v>1810442.4635798202</v>
      </c>
      <c r="I195" s="234">
        <f t="shared" si="36"/>
        <v>2069077.1012340803</v>
      </c>
      <c r="J195" s="234">
        <f t="shared" si="36"/>
        <v>2327711.7388883401</v>
      </c>
      <c r="K195" s="234">
        <f t="shared" si="36"/>
        <v>2586346.3765425999</v>
      </c>
      <c r="L195" s="211" t="s">
        <v>328</v>
      </c>
    </row>
    <row r="196" spans="1:13" ht="15.75" thickBot="1">
      <c r="A196" s="226" t="s">
        <v>318</v>
      </c>
      <c r="B196" s="234">
        <f t="shared" si="35"/>
        <v>1397887767.9778612</v>
      </c>
      <c r="C196" s="234">
        <f t="shared" si="36"/>
        <v>2795775535.9557223</v>
      </c>
      <c r="D196" s="234">
        <f t="shared" si="36"/>
        <v>4193663303.9335833</v>
      </c>
      <c r="E196" s="234">
        <f t="shared" si="36"/>
        <v>5591551071.9114447</v>
      </c>
      <c r="F196" s="234">
        <f t="shared" si="36"/>
        <v>6989438839.8893061</v>
      </c>
      <c r="G196" s="234">
        <f t="shared" si="36"/>
        <v>8387326607.8671675</v>
      </c>
      <c r="H196" s="234">
        <f t="shared" si="36"/>
        <v>9785214375.8450279</v>
      </c>
      <c r="I196" s="234">
        <f t="shared" si="36"/>
        <v>11183102143.822889</v>
      </c>
      <c r="J196" s="234">
        <f t="shared" si="36"/>
        <v>12580989911.800751</v>
      </c>
      <c r="K196" s="234">
        <f t="shared" si="36"/>
        <v>13978877679.778612</v>
      </c>
      <c r="L196" s="211" t="s">
        <v>399</v>
      </c>
    </row>
    <row r="197" spans="1:13" ht="15.75" thickBot="1">
      <c r="A197" s="226" t="s">
        <v>319</v>
      </c>
      <c r="B197" s="234">
        <f t="shared" si="35"/>
        <v>1857131368.5657599</v>
      </c>
      <c r="C197" s="234">
        <f t="shared" si="36"/>
        <v>3714262737.1315198</v>
      </c>
      <c r="D197" s="234">
        <f t="shared" si="36"/>
        <v>5571394105.6972799</v>
      </c>
      <c r="E197" s="234">
        <f t="shared" si="36"/>
        <v>7428525474.2630396</v>
      </c>
      <c r="F197" s="234">
        <f t="shared" si="36"/>
        <v>9285656842.8288002</v>
      </c>
      <c r="G197" s="234">
        <f t="shared" si="36"/>
        <v>11142788211.39456</v>
      </c>
      <c r="H197" s="234">
        <f t="shared" si="36"/>
        <v>12999919579.96032</v>
      </c>
      <c r="I197" s="234">
        <f t="shared" si="36"/>
        <v>14857050948.526079</v>
      </c>
      <c r="J197" s="234">
        <f t="shared" si="36"/>
        <v>16714182317.091839</v>
      </c>
      <c r="K197" s="234">
        <f t="shared" si="36"/>
        <v>18571313685.6576</v>
      </c>
      <c r="L197" s="211" t="s">
        <v>399</v>
      </c>
    </row>
    <row r="198" spans="1:13" ht="15.75" thickBot="1">
      <c r="A198" s="226" t="s">
        <v>320</v>
      </c>
      <c r="B198" s="234"/>
      <c r="C198" s="234">
        <f t="shared" si="36"/>
        <v>0</v>
      </c>
      <c r="D198" s="234">
        <f t="shared" si="36"/>
        <v>55555555.555555552</v>
      </c>
      <c r="E198" s="234">
        <f t="shared" si="36"/>
        <v>111111111.1111111</v>
      </c>
      <c r="F198" s="234">
        <f t="shared" si="36"/>
        <v>166666666.66666666</v>
      </c>
      <c r="G198" s="234">
        <f t="shared" si="36"/>
        <v>222222222.22222221</v>
      </c>
      <c r="H198" s="234">
        <f t="shared" si="36"/>
        <v>277777777.77777779</v>
      </c>
      <c r="I198" s="234">
        <f t="shared" si="36"/>
        <v>333333333.33333337</v>
      </c>
      <c r="J198" s="234">
        <f t="shared" si="36"/>
        <v>388888888.88888896</v>
      </c>
      <c r="K198" s="234">
        <f t="shared" si="36"/>
        <v>444444444.44444454</v>
      </c>
      <c r="L198" s="211" t="s">
        <v>378</v>
      </c>
    </row>
    <row r="199" spans="1:13" ht="15.75" thickBot="1">
      <c r="A199" s="226" t="s">
        <v>321</v>
      </c>
      <c r="B199" s="234"/>
      <c r="C199" s="234">
        <f t="shared" si="36"/>
        <v>0</v>
      </c>
      <c r="D199" s="234">
        <f t="shared" si="36"/>
        <v>2222222222.2222223</v>
      </c>
      <c r="E199" s="234">
        <f t="shared" si="36"/>
        <v>4444444444.4444447</v>
      </c>
      <c r="F199" s="234">
        <f t="shared" si="36"/>
        <v>6666666666.666667</v>
      </c>
      <c r="G199" s="234">
        <f t="shared" si="36"/>
        <v>8888888888.8888893</v>
      </c>
      <c r="H199" s="234">
        <f t="shared" si="36"/>
        <v>11111111111.111111</v>
      </c>
      <c r="I199" s="234">
        <f t="shared" si="36"/>
        <v>13333333333.333332</v>
      </c>
      <c r="J199" s="234">
        <f t="shared" si="36"/>
        <v>15555555555.555553</v>
      </c>
      <c r="K199" s="234">
        <f t="shared" si="36"/>
        <v>17777777777.777775</v>
      </c>
      <c r="L199" s="211" t="s">
        <v>378</v>
      </c>
    </row>
    <row r="200" spans="1:13" ht="15.75" thickBot="1">
      <c r="A200" s="229" t="s">
        <v>330</v>
      </c>
      <c r="B200" s="263">
        <f>SUM(B187:B199)</f>
        <v>7742499300.3351192</v>
      </c>
      <c r="C200" s="263">
        <f t="shared" ref="C200:K200" si="37">SUM(C187:C199)</f>
        <v>15484998600.670238</v>
      </c>
      <c r="D200" s="263">
        <f t="shared" si="37"/>
        <v>25505275678.783134</v>
      </c>
      <c r="E200" s="263">
        <f t="shared" si="37"/>
        <v>35525552756.896034</v>
      </c>
      <c r="F200" s="263">
        <f t="shared" si="37"/>
        <v>45545829835.008926</v>
      </c>
      <c r="G200" s="263">
        <f t="shared" si="37"/>
        <v>55566106913.121826</v>
      </c>
      <c r="H200" s="263">
        <f t="shared" si="37"/>
        <v>65586383991.234726</v>
      </c>
      <c r="I200" s="263">
        <f t="shared" si="37"/>
        <v>75606661069.347626</v>
      </c>
      <c r="J200" s="263">
        <f t="shared" si="37"/>
        <v>85626938147.460526</v>
      </c>
      <c r="K200" s="263">
        <f t="shared" si="37"/>
        <v>95647215225.57341</v>
      </c>
    </row>
    <row r="205" spans="1:13" ht="18.75">
      <c r="A205" s="201"/>
      <c r="B205" s="202" t="s">
        <v>418</v>
      </c>
      <c r="C205" s="201"/>
      <c r="D205" s="201"/>
      <c r="E205" s="201"/>
      <c r="F205" s="201"/>
      <c r="G205" s="201"/>
      <c r="H205" s="201"/>
      <c r="I205" s="201"/>
      <c r="J205" s="138"/>
      <c r="K205" s="138"/>
      <c r="L205" s="138"/>
      <c r="M205" s="138"/>
    </row>
    <row r="209" spans="1:13" ht="15.75" thickBot="1">
      <c r="A209" s="224"/>
      <c r="B209" s="305">
        <v>44348</v>
      </c>
      <c r="C209" s="230">
        <v>44713</v>
      </c>
      <c r="D209" s="230">
        <v>45078</v>
      </c>
      <c r="E209" s="230">
        <v>45444</v>
      </c>
      <c r="F209" s="230">
        <v>45809</v>
      </c>
      <c r="G209" s="230">
        <v>46174</v>
      </c>
      <c r="H209" s="308">
        <v>46539</v>
      </c>
      <c r="I209" s="230">
        <v>46905</v>
      </c>
      <c r="J209" s="230">
        <v>47270</v>
      </c>
      <c r="K209" s="230">
        <v>47635</v>
      </c>
      <c r="L209" s="230">
        <v>48000</v>
      </c>
    </row>
    <row r="210" spans="1:13">
      <c r="A210" s="373" t="s">
        <v>191</v>
      </c>
      <c r="B210" s="375" t="s">
        <v>239</v>
      </c>
      <c r="C210" s="232" t="s">
        <v>332</v>
      </c>
      <c r="D210" s="232" t="s">
        <v>332</v>
      </c>
      <c r="E210" s="232" t="s">
        <v>332</v>
      </c>
      <c r="F210" s="232" t="s">
        <v>332</v>
      </c>
      <c r="G210" s="232" t="s">
        <v>332</v>
      </c>
      <c r="H210" s="232" t="s">
        <v>332</v>
      </c>
      <c r="I210" s="232" t="s">
        <v>332</v>
      </c>
      <c r="J210" s="232" t="s">
        <v>332</v>
      </c>
      <c r="K210" s="232" t="s">
        <v>332</v>
      </c>
      <c r="L210" s="232" t="s">
        <v>332</v>
      </c>
    </row>
    <row r="211" spans="1:13" ht="15.75" thickBot="1">
      <c r="A211" s="374"/>
      <c r="B211" s="376"/>
      <c r="C211" s="233">
        <v>1</v>
      </c>
      <c r="D211" s="233">
        <v>2</v>
      </c>
      <c r="E211" s="233">
        <v>3</v>
      </c>
      <c r="F211" s="233">
        <v>4</v>
      </c>
      <c r="G211" s="233">
        <v>5</v>
      </c>
      <c r="H211" s="233">
        <v>6</v>
      </c>
      <c r="I211" s="233">
        <v>7</v>
      </c>
      <c r="J211" s="233">
        <v>8</v>
      </c>
      <c r="K211" s="233">
        <v>9</v>
      </c>
      <c r="L211" s="233">
        <v>10</v>
      </c>
    </row>
    <row r="212" spans="1:13" ht="15.75" thickBot="1">
      <c r="A212" s="225" t="str">
        <f>+B146</f>
        <v>Bocatoma Superficial</v>
      </c>
      <c r="B212" s="234">
        <f>+C146</f>
        <v>6575191263.0939503</v>
      </c>
      <c r="C212" s="234">
        <f>$B$212-B187</f>
        <v>6238001967.5506706</v>
      </c>
      <c r="D212" s="234">
        <f t="shared" ref="D212:L212" si="38">$B$212-C187</f>
        <v>5900812672.007391</v>
      </c>
      <c r="E212" s="234">
        <f t="shared" si="38"/>
        <v>5563623376.4641113</v>
      </c>
      <c r="F212" s="234">
        <f t="shared" si="38"/>
        <v>5226434080.9208317</v>
      </c>
      <c r="G212" s="234">
        <f t="shared" si="38"/>
        <v>4889244785.377552</v>
      </c>
      <c r="H212" s="234">
        <f t="shared" si="38"/>
        <v>4552055489.8342724</v>
      </c>
      <c r="I212" s="234">
        <f t="shared" si="38"/>
        <v>4214866194.2909932</v>
      </c>
      <c r="J212" s="234">
        <f t="shared" si="38"/>
        <v>3877676898.7477136</v>
      </c>
      <c r="K212" s="234">
        <f t="shared" si="38"/>
        <v>3540487603.2044339</v>
      </c>
      <c r="L212" s="234">
        <f t="shared" si="38"/>
        <v>3203298307.6611543</v>
      </c>
      <c r="M212" s="211" t="s">
        <v>207</v>
      </c>
    </row>
    <row r="213" spans="1:13" ht="15.75" thickBot="1">
      <c r="A213" s="225" t="str">
        <f t="shared" ref="A213:B225" si="39">+B147</f>
        <v>Desarenador</v>
      </c>
      <c r="B213" s="234">
        <f t="shared" si="39"/>
        <v>985063897.1273638</v>
      </c>
      <c r="C213" s="234">
        <f>$B$213-B188</f>
        <v>953792027.37728882</v>
      </c>
      <c r="D213" s="234">
        <f t="shared" ref="D213:L213" si="40">$B$213-C188</f>
        <v>922520157.62721372</v>
      </c>
      <c r="E213" s="234">
        <f t="shared" si="40"/>
        <v>891248287.87713861</v>
      </c>
      <c r="F213" s="234">
        <f t="shared" si="40"/>
        <v>859976418.12706363</v>
      </c>
      <c r="G213" s="234">
        <f t="shared" si="40"/>
        <v>828704548.37698865</v>
      </c>
      <c r="H213" s="234">
        <f t="shared" si="40"/>
        <v>797432678.62691355</v>
      </c>
      <c r="I213" s="234">
        <f t="shared" si="40"/>
        <v>766160808.87683845</v>
      </c>
      <c r="J213" s="234">
        <f t="shared" si="40"/>
        <v>734888939.12676346</v>
      </c>
      <c r="K213" s="234">
        <f t="shared" si="40"/>
        <v>703617069.37668848</v>
      </c>
      <c r="L213" s="234">
        <f t="shared" si="40"/>
        <v>672345199.62661338</v>
      </c>
      <c r="M213" s="211" t="s">
        <v>207</v>
      </c>
    </row>
    <row r="214" spans="1:13" ht="15.75" thickBot="1">
      <c r="A214" s="225" t="str">
        <f t="shared" si="39"/>
        <v>Tratamiento para Agua Potable - Planta Convencional</v>
      </c>
      <c r="B214" s="234">
        <f t="shared" si="39"/>
        <v>1402638828.924891</v>
      </c>
      <c r="C214" s="234">
        <f>$B$214-B189</f>
        <v>1349709061.7956498</v>
      </c>
      <c r="D214" s="234">
        <f t="shared" ref="D214:L214" si="41">$B$214-C189</f>
        <v>1296779294.6664085</v>
      </c>
      <c r="E214" s="234">
        <f t="shared" si="41"/>
        <v>1243849527.5371675</v>
      </c>
      <c r="F214" s="234">
        <f t="shared" si="41"/>
        <v>1190919760.4079263</v>
      </c>
      <c r="G214" s="234">
        <f t="shared" si="41"/>
        <v>1137989993.2786851</v>
      </c>
      <c r="H214" s="234">
        <f t="shared" si="41"/>
        <v>1085060226.1494441</v>
      </c>
      <c r="I214" s="234">
        <f t="shared" si="41"/>
        <v>1032130459.0202029</v>
      </c>
      <c r="J214" s="234">
        <f t="shared" si="41"/>
        <v>979200691.89096165</v>
      </c>
      <c r="K214" s="234">
        <f t="shared" si="41"/>
        <v>926270924.76172042</v>
      </c>
      <c r="L214" s="234">
        <f t="shared" si="41"/>
        <v>873341157.63247931</v>
      </c>
      <c r="M214" s="211" t="s">
        <v>207</v>
      </c>
    </row>
    <row r="215" spans="1:13" ht="15.75" thickBot="1">
      <c r="A215" s="225" t="str">
        <f t="shared" si="39"/>
        <v>Estacion de Bombeo de Agua Potable</v>
      </c>
      <c r="B215" s="234">
        <f t="shared" si="39"/>
        <v>45895510338.855621</v>
      </c>
      <c r="C215" s="234">
        <f>$B$215-B190</f>
        <v>42223869511.747169</v>
      </c>
      <c r="D215" s="234">
        <f t="shared" ref="D215:L215" si="42">$B$215-C190</f>
        <v>38552228684.638718</v>
      </c>
      <c r="E215" s="234">
        <f t="shared" si="42"/>
        <v>34880587857.530273</v>
      </c>
      <c r="F215" s="234">
        <f t="shared" si="42"/>
        <v>31208947030.421822</v>
      </c>
      <c r="G215" s="234">
        <f t="shared" si="42"/>
        <v>27537306203.31337</v>
      </c>
      <c r="H215" s="234">
        <f t="shared" si="42"/>
        <v>23865665376.204918</v>
      </c>
      <c r="I215" s="234">
        <f t="shared" si="42"/>
        <v>20194024549.096466</v>
      </c>
      <c r="J215" s="234">
        <f t="shared" si="42"/>
        <v>16522383721.988014</v>
      </c>
      <c r="K215" s="234">
        <f t="shared" si="42"/>
        <v>12850742894.879562</v>
      </c>
      <c r="L215" s="234">
        <f t="shared" si="42"/>
        <v>9179102067.7711105</v>
      </c>
      <c r="M215" s="211" t="s">
        <v>207</v>
      </c>
    </row>
    <row r="216" spans="1:13" ht="15.75" thickBot="1">
      <c r="A216" s="225" t="str">
        <f t="shared" si="39"/>
        <v>Tanque Superficial</v>
      </c>
      <c r="B216" s="234">
        <f t="shared" si="39"/>
        <v>10178808640.287621</v>
      </c>
      <c r="C216" s="234">
        <f>$B$216-B191</f>
        <v>9867530088.5968685</v>
      </c>
      <c r="D216" s="234">
        <f t="shared" ref="D216:L216" si="43">$B$216-C191</f>
        <v>9556251536.9061146</v>
      </c>
      <c r="E216" s="234">
        <f t="shared" si="43"/>
        <v>9244972985.2153625</v>
      </c>
      <c r="F216" s="234">
        <f t="shared" si="43"/>
        <v>8933694433.5246086</v>
      </c>
      <c r="G216" s="234">
        <f t="shared" si="43"/>
        <v>8622415881.8338566</v>
      </c>
      <c r="H216" s="234">
        <f t="shared" si="43"/>
        <v>8311137330.1431026</v>
      </c>
      <c r="I216" s="234">
        <f t="shared" si="43"/>
        <v>7999858778.4523506</v>
      </c>
      <c r="J216" s="234">
        <f t="shared" si="43"/>
        <v>7688580226.7615967</v>
      </c>
      <c r="K216" s="234">
        <f t="shared" si="43"/>
        <v>7377301675.0708447</v>
      </c>
      <c r="L216" s="234">
        <f t="shared" si="43"/>
        <v>7066023123.3800907</v>
      </c>
      <c r="M216" s="211" t="s">
        <v>207</v>
      </c>
    </row>
    <row r="217" spans="1:13" ht="15.75" thickBot="1">
      <c r="A217" s="225" t="str">
        <f t="shared" si="39"/>
        <v>Red de Acueducto D=12"</v>
      </c>
      <c r="B217" s="234">
        <f t="shared" si="39"/>
        <v>2639561038.7131386</v>
      </c>
      <c r="C217" s="234">
        <f>$B$217-B192</f>
        <v>2558343775.9835033</v>
      </c>
      <c r="D217" s="234">
        <f t="shared" ref="D217:L217" si="44">$B$217-C192</f>
        <v>2477126513.2538686</v>
      </c>
      <c r="E217" s="234">
        <f t="shared" si="44"/>
        <v>2395909250.5242333</v>
      </c>
      <c r="F217" s="234">
        <f t="shared" si="44"/>
        <v>2314691987.7945986</v>
      </c>
      <c r="G217" s="234">
        <f t="shared" si="44"/>
        <v>2233474725.0649633</v>
      </c>
      <c r="H217" s="234">
        <f t="shared" si="44"/>
        <v>2152257462.3353286</v>
      </c>
      <c r="I217" s="234">
        <f t="shared" si="44"/>
        <v>2071040199.6056933</v>
      </c>
      <c r="J217" s="234">
        <f t="shared" si="44"/>
        <v>1989822936.8760586</v>
      </c>
      <c r="K217" s="234">
        <f t="shared" si="44"/>
        <v>1908605674.1464233</v>
      </c>
      <c r="L217" s="234">
        <f t="shared" si="44"/>
        <v>1827388411.4167886</v>
      </c>
      <c r="M217" s="211" t="s">
        <v>207</v>
      </c>
    </row>
    <row r="218" spans="1:13" ht="15.75" thickBot="1">
      <c r="A218" s="225" t="str">
        <f t="shared" si="39"/>
        <v>Planta_ap_1</v>
      </c>
      <c r="B218" s="234">
        <f t="shared" si="39"/>
        <v>25215716.735449515</v>
      </c>
      <c r="C218" s="234">
        <f>$B$218-B193</f>
        <v>24186503.807471983</v>
      </c>
      <c r="D218" s="234">
        <f t="shared" ref="D218:L218" si="45">$B$218-C193</f>
        <v>23157290.879494451</v>
      </c>
      <c r="E218" s="234">
        <f t="shared" si="45"/>
        <v>22128077.951516923</v>
      </c>
      <c r="F218" s="234">
        <f t="shared" si="45"/>
        <v>21098865.02353939</v>
      </c>
      <c r="G218" s="234">
        <f t="shared" si="45"/>
        <v>20069652.095561858</v>
      </c>
      <c r="H218" s="234">
        <f t="shared" si="45"/>
        <v>19040439.16758433</v>
      </c>
      <c r="I218" s="234">
        <f t="shared" si="45"/>
        <v>18011226.239606798</v>
      </c>
      <c r="J218" s="234">
        <f t="shared" si="45"/>
        <v>16982013.311629266</v>
      </c>
      <c r="K218" s="234">
        <f t="shared" si="45"/>
        <v>15952800.383651733</v>
      </c>
      <c r="L218" s="234">
        <f t="shared" si="45"/>
        <v>14923587.455674201</v>
      </c>
      <c r="M218" s="211" t="s">
        <v>328</v>
      </c>
    </row>
    <row r="219" spans="1:13" ht="15.75" thickBot="1">
      <c r="A219" s="225" t="str">
        <f t="shared" si="39"/>
        <v>Tubería distribución</v>
      </c>
      <c r="B219" s="234">
        <f t="shared" si="39"/>
        <v>19609897.095757939</v>
      </c>
      <c r="C219" s="234">
        <f>$B$219-B194</f>
        <v>18945154.821325466</v>
      </c>
      <c r="D219" s="234">
        <f t="shared" ref="D219:K219" si="46">$B$219-C194</f>
        <v>18280412.546892993</v>
      </c>
      <c r="E219" s="234">
        <f t="shared" si="46"/>
        <v>17615670.27246052</v>
      </c>
      <c r="F219" s="234">
        <f t="shared" si="46"/>
        <v>16950927.998028047</v>
      </c>
      <c r="G219" s="234">
        <f t="shared" si="46"/>
        <v>16286185.723595576</v>
      </c>
      <c r="H219" s="234">
        <f t="shared" si="46"/>
        <v>15621443.449163103</v>
      </c>
      <c r="I219" s="234">
        <f t="shared" si="46"/>
        <v>14956701.174730632</v>
      </c>
      <c r="J219" s="234">
        <f t="shared" si="46"/>
        <v>14291958.90029816</v>
      </c>
      <c r="K219" s="234">
        <f t="shared" si="46"/>
        <v>13627216.625865687</v>
      </c>
      <c r="L219" s="234">
        <f>$B$219-K194</f>
        <v>12962474.351433214</v>
      </c>
      <c r="M219" s="211" t="s">
        <v>328</v>
      </c>
    </row>
    <row r="220" spans="1:13" ht="15.75" thickBot="1">
      <c r="A220" s="281" t="str">
        <f t="shared" si="39"/>
        <v>Terrenos</v>
      </c>
      <c r="B220" s="283">
        <f t="shared" si="39"/>
        <v>12431934.762593713</v>
      </c>
      <c r="C220" s="234">
        <f>B220</f>
        <v>12431934.762593713</v>
      </c>
      <c r="D220" s="234">
        <f t="shared" ref="D220:L220" si="47">C220</f>
        <v>12431934.762593713</v>
      </c>
      <c r="E220" s="234">
        <f t="shared" si="47"/>
        <v>12431934.762593713</v>
      </c>
      <c r="F220" s="234">
        <f t="shared" si="47"/>
        <v>12431934.762593713</v>
      </c>
      <c r="G220" s="234">
        <f t="shared" si="47"/>
        <v>12431934.762593713</v>
      </c>
      <c r="H220" s="234">
        <f t="shared" si="47"/>
        <v>12431934.762593713</v>
      </c>
      <c r="I220" s="234">
        <f t="shared" si="47"/>
        <v>12431934.762593713</v>
      </c>
      <c r="J220" s="234">
        <f t="shared" si="47"/>
        <v>12431934.762593713</v>
      </c>
      <c r="K220" s="234">
        <f t="shared" si="47"/>
        <v>12431934.762593713</v>
      </c>
      <c r="L220" s="234">
        <f t="shared" si="47"/>
        <v>12431934.762593713</v>
      </c>
      <c r="M220" s="211" t="s">
        <v>328</v>
      </c>
    </row>
    <row r="221" spans="1:13" ht="15.75" thickBot="1">
      <c r="A221" s="225" t="str">
        <f t="shared" si="39"/>
        <v>Tubería distribución</v>
      </c>
      <c r="B221" s="234">
        <f t="shared" si="39"/>
        <v>10733337.462651791</v>
      </c>
      <c r="C221" s="234">
        <f>$B$221-B195</f>
        <v>10474702.824997531</v>
      </c>
      <c r="D221" s="234">
        <f t="shared" ref="D221:L221" si="48">$B$221-C195</f>
        <v>10216068.187343271</v>
      </c>
      <c r="E221" s="234">
        <f t="shared" si="48"/>
        <v>9957433.5496890116</v>
      </c>
      <c r="F221" s="234">
        <f t="shared" si="48"/>
        <v>9698798.91203475</v>
      </c>
      <c r="G221" s="234">
        <f t="shared" si="48"/>
        <v>9440164.2743804902</v>
      </c>
      <c r="H221" s="234">
        <f t="shared" si="48"/>
        <v>9181529.6367262304</v>
      </c>
      <c r="I221" s="234">
        <f t="shared" si="48"/>
        <v>8922894.9990719706</v>
      </c>
      <c r="J221" s="234">
        <f t="shared" si="48"/>
        <v>8664260.3614177108</v>
      </c>
      <c r="K221" s="234">
        <f t="shared" si="48"/>
        <v>8405625.723763451</v>
      </c>
      <c r="L221" s="234">
        <f t="shared" si="48"/>
        <v>8146991.0861091912</v>
      </c>
      <c r="M221" s="211" t="s">
        <v>328</v>
      </c>
    </row>
    <row r="222" spans="1:13" ht="15.75" thickBot="1">
      <c r="A222" s="225" t="str">
        <f t="shared" si="39"/>
        <v>Planta ap 2: Expansión_POIR 688</v>
      </c>
      <c r="B222" s="234">
        <f t="shared" si="39"/>
        <v>53818679067.147652</v>
      </c>
      <c r="C222" s="234">
        <f>$B$222-B196</f>
        <v>52420791299.169792</v>
      </c>
      <c r="D222" s="234">
        <f t="shared" ref="D222:L222" si="49">$B$222-C196</f>
        <v>51022903531.191933</v>
      </c>
      <c r="E222" s="234">
        <f t="shared" si="49"/>
        <v>49625015763.214066</v>
      </c>
      <c r="F222" s="234">
        <f t="shared" si="49"/>
        <v>48227127995.236206</v>
      </c>
      <c r="G222" s="234">
        <f t="shared" si="49"/>
        <v>46829240227.258347</v>
      </c>
      <c r="H222" s="234">
        <f t="shared" si="49"/>
        <v>45431352459.280487</v>
      </c>
      <c r="I222" s="234">
        <f t="shared" si="49"/>
        <v>44033464691.302628</v>
      </c>
      <c r="J222" s="234">
        <f t="shared" si="49"/>
        <v>42635576923.32476</v>
      </c>
      <c r="K222" s="234">
        <f t="shared" si="49"/>
        <v>41237689155.346901</v>
      </c>
      <c r="L222" s="234">
        <f t="shared" si="49"/>
        <v>39839801387.369041</v>
      </c>
      <c r="M222" s="211" t="s">
        <v>399</v>
      </c>
    </row>
    <row r="223" spans="1:13" ht="15.75" thickBot="1">
      <c r="A223" s="225" t="str">
        <f t="shared" si="39"/>
        <v>Tubería distribución Expansión_POIR 688</v>
      </c>
      <c r="B223" s="234">
        <f t="shared" si="39"/>
        <v>82642345901.176315</v>
      </c>
      <c r="C223" s="234">
        <f>$B$223-B197</f>
        <v>80785214532.61055</v>
      </c>
      <c r="D223" s="234">
        <f t="shared" ref="D223:L223" si="50">$B$223-C197</f>
        <v>78928083164.0448</v>
      </c>
      <c r="E223" s="234">
        <f t="shared" si="50"/>
        <v>77070951795.479034</v>
      </c>
      <c r="F223" s="234">
        <f t="shared" si="50"/>
        <v>75213820426.913269</v>
      </c>
      <c r="G223" s="234">
        <f t="shared" si="50"/>
        <v>73356689058.347519</v>
      </c>
      <c r="H223" s="234">
        <f t="shared" si="50"/>
        <v>71499557689.781754</v>
      </c>
      <c r="I223" s="234">
        <f t="shared" si="50"/>
        <v>69642426321.216003</v>
      </c>
      <c r="J223" s="234">
        <f t="shared" si="50"/>
        <v>67785294952.650238</v>
      </c>
      <c r="K223" s="234">
        <f t="shared" si="50"/>
        <v>65928163584.084473</v>
      </c>
      <c r="L223" s="234">
        <f t="shared" si="50"/>
        <v>64071032215.518715</v>
      </c>
      <c r="M223" s="211" t="s">
        <v>399</v>
      </c>
    </row>
    <row r="224" spans="1:13" ht="15.75" thickBot="1">
      <c r="A224" s="281" t="str">
        <f t="shared" si="39"/>
        <v>Tubería transporte: Reposición</v>
      </c>
      <c r="B224" s="283">
        <v>0</v>
      </c>
      <c r="C224" s="234">
        <v>0</v>
      </c>
      <c r="D224" s="234">
        <f>$C$158-C198</f>
        <v>2500000000</v>
      </c>
      <c r="E224" s="234">
        <f t="shared" ref="E224:L224" si="51">$C$158-D198</f>
        <v>2444444444.4444447</v>
      </c>
      <c r="F224" s="234">
        <f t="shared" si="51"/>
        <v>2388888888.8888888</v>
      </c>
      <c r="G224" s="234">
        <f t="shared" si="51"/>
        <v>2333333333.3333335</v>
      </c>
      <c r="H224" s="234">
        <f t="shared" si="51"/>
        <v>2277777777.7777777</v>
      </c>
      <c r="I224" s="234">
        <f t="shared" si="51"/>
        <v>2222222222.2222223</v>
      </c>
      <c r="J224" s="234">
        <f t="shared" si="51"/>
        <v>2166666666.6666665</v>
      </c>
      <c r="K224" s="234">
        <f t="shared" si="51"/>
        <v>2111111111.1111112</v>
      </c>
      <c r="L224" s="234">
        <f t="shared" si="51"/>
        <v>2055555555.5555553</v>
      </c>
      <c r="M224" s="211" t="s">
        <v>378</v>
      </c>
    </row>
    <row r="225" spans="1:13" ht="15.75" thickBot="1">
      <c r="A225" s="281" t="str">
        <f t="shared" si="39"/>
        <v>Tubería distribución: Rehabilitación</v>
      </c>
      <c r="B225" s="283">
        <v>0</v>
      </c>
      <c r="C225" s="234">
        <v>0</v>
      </c>
      <c r="D225" s="234">
        <f>$C$159-C199</f>
        <v>100000000000</v>
      </c>
      <c r="E225" s="234">
        <f t="shared" ref="E225:L225" si="52">$C$159-D199</f>
        <v>97777777777.777771</v>
      </c>
      <c r="F225" s="234">
        <f t="shared" si="52"/>
        <v>95555555555.555557</v>
      </c>
      <c r="G225" s="234">
        <f t="shared" si="52"/>
        <v>93333333333.333328</v>
      </c>
      <c r="H225" s="234">
        <f t="shared" si="52"/>
        <v>91111111111.111115</v>
      </c>
      <c r="I225" s="234">
        <f t="shared" si="52"/>
        <v>88888888888.888885</v>
      </c>
      <c r="J225" s="234">
        <f t="shared" si="52"/>
        <v>86666666666.666672</v>
      </c>
      <c r="K225" s="234">
        <f t="shared" si="52"/>
        <v>84444444444.444443</v>
      </c>
      <c r="L225" s="234">
        <f t="shared" si="52"/>
        <v>82222222222.222229</v>
      </c>
      <c r="M225" s="211" t="s">
        <v>378</v>
      </c>
    </row>
    <row r="226" spans="1:13" ht="18.75" thickBot="1">
      <c r="A226" s="236" t="s">
        <v>417</v>
      </c>
      <c r="B226" s="237">
        <f>SUM(B212:B225)</f>
        <v>204205789861.383</v>
      </c>
      <c r="C226" s="237">
        <f t="shared" ref="C226:L226" si="53">SUM(C212:C225)</f>
        <v>196463290561.04791</v>
      </c>
      <c r="D226" s="237">
        <f t="shared" si="53"/>
        <v>291220791260.71277</v>
      </c>
      <c r="E226" s="237">
        <f t="shared" si="53"/>
        <v>281200514182.59985</v>
      </c>
      <c r="F226" s="237">
        <f t="shared" si="53"/>
        <v>271180237104.487</v>
      </c>
      <c r="G226" s="237">
        <f t="shared" si="53"/>
        <v>261159960026.37408</v>
      </c>
      <c r="H226" s="237">
        <f t="shared" si="53"/>
        <v>251139682948.2612</v>
      </c>
      <c r="I226" s="237">
        <f t="shared" si="53"/>
        <v>241119405870.14828</v>
      </c>
      <c r="J226" s="237">
        <f t="shared" si="53"/>
        <v>231099128792.03534</v>
      </c>
      <c r="K226" s="237">
        <f t="shared" si="53"/>
        <v>221078851713.92249</v>
      </c>
      <c r="L226" s="237">
        <f t="shared" si="53"/>
        <v>211058574635.80957</v>
      </c>
    </row>
    <row r="229" spans="1:13" s="138" customFormat="1" ht="15.75">
      <c r="A229" s="201"/>
      <c r="B229" s="202" t="s">
        <v>354</v>
      </c>
      <c r="C229" s="201"/>
      <c r="D229" s="201"/>
      <c r="E229" s="201"/>
      <c r="F229" s="201"/>
      <c r="G229" s="201"/>
      <c r="H229" s="201"/>
      <c r="I229" s="201"/>
    </row>
    <row r="232" spans="1:13">
      <c r="A232" t="s">
        <v>338</v>
      </c>
      <c r="B232" s="246">
        <v>0.12280000000000001</v>
      </c>
    </row>
    <row r="233" spans="1:13" ht="15.75" thickBot="1">
      <c r="C233" s="230">
        <v>44713</v>
      </c>
      <c r="D233" s="230">
        <v>45078</v>
      </c>
      <c r="E233" s="230">
        <v>45444</v>
      </c>
      <c r="F233" s="230">
        <v>45809</v>
      </c>
      <c r="G233" s="230">
        <v>46174</v>
      </c>
      <c r="H233" s="308">
        <v>46539</v>
      </c>
      <c r="I233" s="230">
        <v>46905</v>
      </c>
      <c r="J233" s="230">
        <v>47270</v>
      </c>
      <c r="K233" s="230">
        <v>47635</v>
      </c>
      <c r="L233" s="230">
        <v>48000</v>
      </c>
    </row>
    <row r="234" spans="1:13" ht="15.75" thickBot="1">
      <c r="A234" s="238" t="s">
        <v>194</v>
      </c>
      <c r="B234" s="239" t="s">
        <v>335</v>
      </c>
      <c r="C234" s="240">
        <v>1</v>
      </c>
      <c r="D234" s="240">
        <v>2</v>
      </c>
      <c r="E234" s="240">
        <v>3</v>
      </c>
      <c r="F234" s="240">
        <v>4</v>
      </c>
      <c r="G234" s="240">
        <v>5</v>
      </c>
      <c r="H234" s="240">
        <v>6</v>
      </c>
      <c r="I234" s="240">
        <v>7</v>
      </c>
      <c r="J234" s="240">
        <v>8</v>
      </c>
      <c r="K234" s="240">
        <v>9</v>
      </c>
      <c r="L234" s="240">
        <v>10</v>
      </c>
    </row>
    <row r="235" spans="1:13" ht="15.75" thickBot="1">
      <c r="A235" s="241"/>
      <c r="B235" s="209"/>
      <c r="C235" s="242" t="s">
        <v>195</v>
      </c>
      <c r="D235" s="242" t="s">
        <v>196</v>
      </c>
      <c r="E235" s="242" t="s">
        <v>197</v>
      </c>
      <c r="F235" s="242" t="s">
        <v>198</v>
      </c>
      <c r="G235" s="242" t="s">
        <v>199</v>
      </c>
      <c r="H235" s="242" t="s">
        <v>200</v>
      </c>
      <c r="I235" s="242" t="s">
        <v>201</v>
      </c>
      <c r="J235" s="242" t="s">
        <v>202</v>
      </c>
      <c r="K235" s="242" t="s">
        <v>203</v>
      </c>
      <c r="L235" s="242" t="s">
        <v>204</v>
      </c>
    </row>
    <row r="236" spans="1:13" ht="15.75" thickBot="1">
      <c r="A236" s="243" t="s">
        <v>241</v>
      </c>
      <c r="B236" s="264"/>
      <c r="C236" s="234">
        <f>+B179</f>
        <v>7742499300.3351192</v>
      </c>
      <c r="D236" s="234">
        <f t="shared" ref="D236:L236" si="54">+C179</f>
        <v>7742499300.3351192</v>
      </c>
      <c r="E236" s="234">
        <f t="shared" si="54"/>
        <v>10020277078.112896</v>
      </c>
      <c r="F236" s="234">
        <f t="shared" si="54"/>
        <v>10020277078.112896</v>
      </c>
      <c r="G236" s="234">
        <f t="shared" si="54"/>
        <v>10020277078.112896</v>
      </c>
      <c r="H236" s="234">
        <f t="shared" si="54"/>
        <v>10020277078.112896</v>
      </c>
      <c r="I236" s="234">
        <f t="shared" si="54"/>
        <v>10020277078.112896</v>
      </c>
      <c r="J236" s="234">
        <f t="shared" si="54"/>
        <v>10020277078.112896</v>
      </c>
      <c r="K236" s="234">
        <f t="shared" si="54"/>
        <v>10020277078.112896</v>
      </c>
      <c r="L236" s="234">
        <f t="shared" si="54"/>
        <v>10020277078.112896</v>
      </c>
    </row>
    <row r="237" spans="1:13" ht="18.75" thickBot="1">
      <c r="A237" s="244" t="s">
        <v>416</v>
      </c>
      <c r="B237" s="264"/>
      <c r="C237" s="234">
        <f>$B$232*B226</f>
        <v>25076470994.977833</v>
      </c>
      <c r="D237" s="234">
        <f t="shared" ref="D237:L237" si="55">$B$232*C226</f>
        <v>24125692080.896687</v>
      </c>
      <c r="E237" s="234">
        <f t="shared" si="55"/>
        <v>35761913166.815529</v>
      </c>
      <c r="F237" s="234">
        <f t="shared" si="55"/>
        <v>34531423141.62326</v>
      </c>
      <c r="G237" s="234">
        <f t="shared" si="55"/>
        <v>33300933116.431004</v>
      </c>
      <c r="H237" s="234">
        <f t="shared" si="55"/>
        <v>32070443091.238739</v>
      </c>
      <c r="I237" s="234">
        <f t="shared" si="55"/>
        <v>30839953066.046478</v>
      </c>
      <c r="J237" s="234">
        <f t="shared" si="55"/>
        <v>29609463040.85421</v>
      </c>
      <c r="K237" s="234">
        <f t="shared" si="55"/>
        <v>28378973015.661942</v>
      </c>
      <c r="L237" s="234">
        <f t="shared" si="55"/>
        <v>27148482990.469681</v>
      </c>
    </row>
    <row r="238" spans="1:13" ht="18.75" thickBot="1">
      <c r="A238" s="245" t="s">
        <v>415</v>
      </c>
      <c r="B238" s="237">
        <f>NPV(B232,C238:L238)</f>
        <v>219231667494.94196</v>
      </c>
      <c r="C238" s="234">
        <f>C236+C237</f>
        <v>32818970295.31295</v>
      </c>
      <c r="D238" s="234">
        <f t="shared" ref="D238:L238" si="56">D236+D237</f>
        <v>31868191381.231804</v>
      </c>
      <c r="E238" s="234">
        <f t="shared" si="56"/>
        <v>45782190244.928421</v>
      </c>
      <c r="F238" s="234">
        <f t="shared" si="56"/>
        <v>44551700219.73616</v>
      </c>
      <c r="G238" s="234">
        <f t="shared" si="56"/>
        <v>43321210194.5439</v>
      </c>
      <c r="H238" s="234">
        <f t="shared" si="56"/>
        <v>42090720169.351639</v>
      </c>
      <c r="I238" s="234">
        <f t="shared" si="56"/>
        <v>40860230144.159378</v>
      </c>
      <c r="J238" s="234">
        <f t="shared" si="56"/>
        <v>39629740118.967102</v>
      </c>
      <c r="K238" s="234">
        <f t="shared" si="56"/>
        <v>38399250093.774841</v>
      </c>
      <c r="L238" s="234">
        <f t="shared" si="56"/>
        <v>37168760068.582581</v>
      </c>
    </row>
    <row r="239" spans="1:13" ht="18.75" thickBot="1">
      <c r="A239" s="245" t="s">
        <v>411</v>
      </c>
      <c r="B239" s="237">
        <f>NPV(B232,C239:L239)</f>
        <v>188731068.01998952</v>
      </c>
      <c r="C239" s="234">
        <f>+'CCP APS 1'!D28</f>
        <v>32879387.211656652</v>
      </c>
      <c r="D239" s="234">
        <f>+'CCP APS 1'!E28</f>
        <v>32522955.043991636</v>
      </c>
      <c r="E239" s="234">
        <f>+'CCP APS 1'!F28</f>
        <v>33668360.806355253</v>
      </c>
      <c r="F239" s="234">
        <f>+'CCP APS 1'!G28</f>
        <v>33825995.830012739</v>
      </c>
      <c r="G239" s="234">
        <f>+'CCP APS 1'!H28</f>
        <v>33976315.72729855</v>
      </c>
      <c r="H239" s="234">
        <f>+'CCP APS 1'!I28</f>
        <v>34118723.032524735</v>
      </c>
      <c r="I239" s="234">
        <f>+'CCP APS 1'!J28</f>
        <v>34172162.637747072</v>
      </c>
      <c r="J239" s="234">
        <f>+'CCP APS 1'!K28</f>
        <v>34661524.869131267</v>
      </c>
      <c r="K239" s="234">
        <f>+'CCP APS 1'!L28</f>
        <v>35161339.074051835</v>
      </c>
      <c r="L239" s="234">
        <f>+'CCP APS 1'!M28</f>
        <v>35671957.395445272</v>
      </c>
    </row>
    <row r="245" spans="1:12" ht="26.25">
      <c r="A245" s="284" t="s">
        <v>413</v>
      </c>
    </row>
    <row r="247" spans="1:12">
      <c r="A247" t="s">
        <v>338</v>
      </c>
      <c r="B247" s="285">
        <v>0.12280000000000001</v>
      </c>
    </row>
    <row r="248" spans="1:12" ht="15.75" thickBot="1">
      <c r="C248" s="230">
        <v>44713</v>
      </c>
      <c r="D248" s="230">
        <v>45078</v>
      </c>
      <c r="E248" s="230">
        <v>45444</v>
      </c>
      <c r="F248" s="230">
        <v>45809</v>
      </c>
      <c r="G248" s="230">
        <v>46174</v>
      </c>
      <c r="H248" s="308">
        <v>46539</v>
      </c>
      <c r="I248" s="230">
        <v>46905</v>
      </c>
      <c r="J248" s="230">
        <v>47270</v>
      </c>
      <c r="K248" s="230">
        <v>47635</v>
      </c>
      <c r="L248" s="230">
        <v>48000</v>
      </c>
    </row>
    <row r="249" spans="1:12" ht="15.75" thickBot="1">
      <c r="A249" s="238" t="s">
        <v>194</v>
      </c>
      <c r="B249" s="239" t="s">
        <v>335</v>
      </c>
      <c r="C249" s="240">
        <v>1</v>
      </c>
      <c r="D249" s="240">
        <v>2</v>
      </c>
      <c r="E249" s="240">
        <v>3</v>
      </c>
      <c r="F249" s="240">
        <v>4</v>
      </c>
      <c r="G249" s="240">
        <v>5</v>
      </c>
      <c r="H249" s="240">
        <v>6</v>
      </c>
      <c r="I249" s="240">
        <v>7</v>
      </c>
      <c r="J249" s="240">
        <v>8</v>
      </c>
      <c r="K249" s="240">
        <v>9</v>
      </c>
      <c r="L249" s="240">
        <v>10</v>
      </c>
    </row>
    <row r="250" spans="1:12" ht="15.75" thickBot="1">
      <c r="A250" s="241"/>
      <c r="B250" s="209"/>
      <c r="C250" s="242" t="s">
        <v>195</v>
      </c>
      <c r="D250" s="242" t="s">
        <v>196</v>
      </c>
      <c r="E250" s="242" t="s">
        <v>197</v>
      </c>
      <c r="F250" s="242" t="s">
        <v>198</v>
      </c>
      <c r="G250" s="242" t="s">
        <v>199</v>
      </c>
      <c r="H250" s="242" t="s">
        <v>200</v>
      </c>
      <c r="I250" s="242" t="s">
        <v>201</v>
      </c>
      <c r="J250" s="242" t="s">
        <v>202</v>
      </c>
      <c r="K250" s="242" t="s">
        <v>203</v>
      </c>
      <c r="L250" s="242" t="s">
        <v>204</v>
      </c>
    </row>
    <row r="251" spans="1:12" ht="18.75" thickBot="1">
      <c r="A251" s="245" t="s">
        <v>414</v>
      </c>
      <c r="B251" s="273">
        <f>NPV(B247,C251:L251)</f>
        <v>219231667494.94196</v>
      </c>
      <c r="C251" s="234">
        <f>+C238</f>
        <v>32818970295.31295</v>
      </c>
      <c r="D251" s="234">
        <f t="shared" ref="D251:L251" si="57">+D238</f>
        <v>31868191381.231804</v>
      </c>
      <c r="E251" s="234">
        <f t="shared" si="57"/>
        <v>45782190244.928421</v>
      </c>
      <c r="F251" s="234">
        <f t="shared" si="57"/>
        <v>44551700219.73616</v>
      </c>
      <c r="G251" s="234">
        <f t="shared" si="57"/>
        <v>43321210194.5439</v>
      </c>
      <c r="H251" s="234">
        <f t="shared" si="57"/>
        <v>42090720169.351639</v>
      </c>
      <c r="I251" s="234">
        <f t="shared" si="57"/>
        <v>40860230144.159378</v>
      </c>
      <c r="J251" s="234">
        <f t="shared" si="57"/>
        <v>39629740118.967102</v>
      </c>
      <c r="K251" s="234">
        <f t="shared" si="57"/>
        <v>38399250093.774841</v>
      </c>
      <c r="L251" s="234">
        <f t="shared" si="57"/>
        <v>37168760068.582581</v>
      </c>
    </row>
    <row r="255" spans="1:12" ht="26.25">
      <c r="A255" s="284" t="s">
        <v>412</v>
      </c>
    </row>
    <row r="257" spans="1:12">
      <c r="A257" t="s">
        <v>338</v>
      </c>
      <c r="B257" s="285">
        <v>0.12280000000000001</v>
      </c>
    </row>
    <row r="258" spans="1:12" ht="15.75" thickBot="1">
      <c r="C258" s="230">
        <v>44713</v>
      </c>
      <c r="D258" s="230">
        <v>45078</v>
      </c>
      <c r="E258" s="230">
        <v>45444</v>
      </c>
      <c r="F258" s="230">
        <v>45809</v>
      </c>
      <c r="G258" s="230">
        <v>46174</v>
      </c>
      <c r="H258" s="308">
        <v>46539</v>
      </c>
      <c r="I258" s="230">
        <v>46905</v>
      </c>
      <c r="J258" s="230">
        <v>47270</v>
      </c>
      <c r="K258" s="230">
        <v>47635</v>
      </c>
      <c r="L258" s="230">
        <v>48000</v>
      </c>
    </row>
    <row r="259" spans="1:12" ht="15.75" thickBot="1">
      <c r="A259" s="238" t="s">
        <v>194</v>
      </c>
      <c r="B259" s="239" t="s">
        <v>335</v>
      </c>
      <c r="C259" s="240">
        <v>1</v>
      </c>
      <c r="D259" s="240">
        <v>2</v>
      </c>
      <c r="E259" s="240">
        <v>3</v>
      </c>
      <c r="F259" s="240">
        <v>4</v>
      </c>
      <c r="G259" s="240">
        <v>5</v>
      </c>
      <c r="H259" s="240">
        <v>6</v>
      </c>
      <c r="I259" s="240">
        <v>7</v>
      </c>
      <c r="J259" s="240">
        <v>8</v>
      </c>
      <c r="K259" s="240">
        <v>9</v>
      </c>
      <c r="L259" s="240">
        <v>10</v>
      </c>
    </row>
    <row r="260" spans="1:12" ht="15.75" thickBot="1">
      <c r="A260" s="241"/>
      <c r="B260" s="209"/>
      <c r="C260" s="242" t="s">
        <v>195</v>
      </c>
      <c r="D260" s="242" t="s">
        <v>196</v>
      </c>
      <c r="E260" s="242" t="s">
        <v>197</v>
      </c>
      <c r="F260" s="242" t="s">
        <v>198</v>
      </c>
      <c r="G260" s="242" t="s">
        <v>199</v>
      </c>
      <c r="H260" s="242" t="s">
        <v>200</v>
      </c>
      <c r="I260" s="242" t="s">
        <v>201</v>
      </c>
      <c r="J260" s="242" t="s">
        <v>202</v>
      </c>
      <c r="K260" s="242" t="s">
        <v>203</v>
      </c>
      <c r="L260" s="242" t="s">
        <v>204</v>
      </c>
    </row>
    <row r="261" spans="1:12" ht="18.75" thickBot="1">
      <c r="A261" s="245" t="s">
        <v>411</v>
      </c>
      <c r="B261" s="273">
        <f>NPV(B257,C261:L261)</f>
        <v>188731068.01998952</v>
      </c>
      <c r="C261" s="234">
        <f>+C239</f>
        <v>32879387.211656652</v>
      </c>
      <c r="D261" s="234">
        <f t="shared" ref="D261:L261" si="58">+D239</f>
        <v>32522955.043991636</v>
      </c>
      <c r="E261" s="234">
        <f t="shared" si="58"/>
        <v>33668360.806355253</v>
      </c>
      <c r="F261" s="234">
        <f t="shared" si="58"/>
        <v>33825995.830012739</v>
      </c>
      <c r="G261" s="234">
        <f t="shared" si="58"/>
        <v>33976315.72729855</v>
      </c>
      <c r="H261" s="234">
        <f t="shared" si="58"/>
        <v>34118723.032524735</v>
      </c>
      <c r="I261" s="234">
        <f t="shared" si="58"/>
        <v>34172162.637747072</v>
      </c>
      <c r="J261" s="234">
        <f t="shared" si="58"/>
        <v>34661524.869131267</v>
      </c>
      <c r="K261" s="234">
        <f t="shared" si="58"/>
        <v>35161339.074051835</v>
      </c>
      <c r="L261" s="234">
        <f t="shared" si="58"/>
        <v>35671957.395445272</v>
      </c>
    </row>
    <row r="266" spans="1:12" ht="27" thickBot="1">
      <c r="A266" s="284" t="s">
        <v>410</v>
      </c>
      <c r="B266" s="288">
        <f>B251/B261</f>
        <v>1161.6087896653135</v>
      </c>
    </row>
  </sheetData>
  <mergeCells count="24">
    <mergeCell ref="A1:H1"/>
    <mergeCell ref="A24:A25"/>
    <mergeCell ref="B24:B25"/>
    <mergeCell ref="C24:C25"/>
    <mergeCell ref="D24:D25"/>
    <mergeCell ref="E24:E25"/>
    <mergeCell ref="F24:F25"/>
    <mergeCell ref="G24:G25"/>
    <mergeCell ref="H24:H25"/>
    <mergeCell ref="A51:A52"/>
    <mergeCell ref="A99:A100"/>
    <mergeCell ref="B99:B100"/>
    <mergeCell ref="A117:A118"/>
    <mergeCell ref="B117:B118"/>
    <mergeCell ref="G144:G145"/>
    <mergeCell ref="H144:H145"/>
    <mergeCell ref="A210:A211"/>
    <mergeCell ref="B210:B211"/>
    <mergeCell ref="A144:A145"/>
    <mergeCell ref="B144:B145"/>
    <mergeCell ref="C144:C145"/>
    <mergeCell ref="D144:D145"/>
    <mergeCell ref="E144:E145"/>
    <mergeCell ref="F144:F145"/>
  </mergeCells>
  <phoneticPr fontId="5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O43"/>
  <sheetViews>
    <sheetView topLeftCell="C14" zoomScale="80" zoomScaleNormal="80" workbookViewId="0">
      <selection activeCell="C21" sqref="C21:M21"/>
    </sheetView>
  </sheetViews>
  <sheetFormatPr baseColWidth="10" defaultColWidth="11.42578125" defaultRowHeight="15"/>
  <cols>
    <col min="1" max="1" width="15.140625" style="72" bestFit="1" customWidth="1"/>
    <col min="2" max="2" width="103.5703125" style="72" bestFit="1" customWidth="1"/>
    <col min="3" max="3" width="11" style="72" bestFit="1" customWidth="1"/>
    <col min="4" max="4" width="13.5703125" style="72" customWidth="1"/>
    <col min="5" max="5" width="13.85546875" style="72" customWidth="1"/>
    <col min="6" max="7" width="13.42578125" style="72" customWidth="1"/>
    <col min="8" max="8" width="14.28515625" style="72" customWidth="1"/>
    <col min="9" max="9" width="14" style="72" customWidth="1"/>
    <col min="10" max="10" width="12.7109375" style="72" customWidth="1"/>
    <col min="11" max="11" width="13.7109375" style="72" customWidth="1"/>
    <col min="12" max="12" width="13" style="72" customWidth="1"/>
    <col min="13" max="13" width="14.140625" style="72" customWidth="1"/>
    <col min="14" max="16384" width="11.42578125" style="72"/>
  </cols>
  <sheetData>
    <row r="1" spans="1:12" customFormat="1" ht="21.75" thickBot="1">
      <c r="A1" s="350" t="s">
        <v>283</v>
      </c>
      <c r="B1" s="350"/>
      <c r="C1" s="350"/>
      <c r="D1" s="350"/>
      <c r="E1" s="350"/>
      <c r="F1" s="350"/>
      <c r="G1" s="350"/>
      <c r="H1" s="350"/>
    </row>
    <row r="2" spans="1:12" ht="15.75">
      <c r="A2" s="69" t="s">
        <v>22</v>
      </c>
      <c r="B2" s="70" t="s">
        <v>127</v>
      </c>
      <c r="C2" s="71" t="s">
        <v>382</v>
      </c>
      <c r="H2" s="126"/>
      <c r="I2" s="127"/>
      <c r="J2" s="127"/>
      <c r="K2" s="128"/>
      <c r="L2" s="123"/>
    </row>
    <row r="3" spans="1:12">
      <c r="A3" s="73" t="s">
        <v>128</v>
      </c>
      <c r="B3" s="74" t="s">
        <v>129</v>
      </c>
      <c r="C3" s="75">
        <v>93000</v>
      </c>
      <c r="H3" s="129"/>
      <c r="I3" s="130"/>
      <c r="J3" s="130"/>
      <c r="K3" s="128"/>
      <c r="L3" s="123"/>
    </row>
    <row r="4" spans="1:12">
      <c r="A4" s="73" t="s">
        <v>130</v>
      </c>
      <c r="B4" s="74" t="s">
        <v>131</v>
      </c>
      <c r="C4" s="75">
        <v>17000</v>
      </c>
      <c r="H4" s="129"/>
      <c r="I4" s="131"/>
      <c r="J4" s="131"/>
      <c r="K4" s="128"/>
      <c r="L4" s="123"/>
    </row>
    <row r="5" spans="1:12" ht="16.5" thickBot="1">
      <c r="A5" s="76" t="s">
        <v>132</v>
      </c>
      <c r="B5" s="77" t="s">
        <v>133</v>
      </c>
      <c r="C5" s="78">
        <f>SUM(C3:C4)</f>
        <v>110000</v>
      </c>
      <c r="H5" s="128"/>
      <c r="I5" s="128"/>
      <c r="J5" s="128"/>
      <c r="K5" s="128"/>
      <c r="L5" s="123"/>
    </row>
    <row r="6" spans="1:12" ht="15.75">
      <c r="A6" s="79"/>
      <c r="B6" s="79"/>
      <c r="C6" s="80"/>
      <c r="H6" s="128"/>
      <c r="I6" s="128"/>
      <c r="J6" s="128"/>
      <c r="K6" s="128"/>
      <c r="L6" s="123"/>
    </row>
    <row r="7" spans="1:12" ht="15.75" thickBot="1">
      <c r="H7" s="128"/>
      <c r="I7" s="128"/>
      <c r="J7" s="128"/>
      <c r="K7" s="128"/>
      <c r="L7" s="123"/>
    </row>
    <row r="8" spans="1:12" ht="15.75">
      <c r="A8" s="69" t="s">
        <v>22</v>
      </c>
      <c r="B8" s="70" t="s">
        <v>127</v>
      </c>
      <c r="C8" s="71" t="s">
        <v>382</v>
      </c>
    </row>
    <row r="9" spans="1:12">
      <c r="A9" s="73" t="s">
        <v>134</v>
      </c>
      <c r="B9" s="74" t="s">
        <v>135</v>
      </c>
      <c r="C9" s="75">
        <v>92000</v>
      </c>
    </row>
    <row r="10" spans="1:12">
      <c r="A10" s="73" t="s">
        <v>136</v>
      </c>
      <c r="B10" s="74" t="s">
        <v>137</v>
      </c>
      <c r="C10" s="75">
        <v>15000</v>
      </c>
    </row>
    <row r="11" spans="1:12" ht="16.5" thickBot="1">
      <c r="A11" s="76" t="s">
        <v>138</v>
      </c>
      <c r="B11" s="77" t="s">
        <v>139</v>
      </c>
      <c r="C11" s="78">
        <f>C9+C10</f>
        <v>107000</v>
      </c>
    </row>
    <row r="12" spans="1:12" ht="15.75">
      <c r="A12" s="79"/>
      <c r="B12" s="79"/>
      <c r="C12" s="79"/>
    </row>
    <row r="13" spans="1:12" ht="15.75" thickBot="1"/>
    <row r="14" spans="1:12">
      <c r="A14" s="81" t="s">
        <v>128</v>
      </c>
      <c r="B14" s="82" t="s">
        <v>129</v>
      </c>
      <c r="C14" s="83">
        <f>+C3</f>
        <v>93000</v>
      </c>
      <c r="D14" s="123"/>
    </row>
    <row r="15" spans="1:12">
      <c r="A15" s="73" t="s">
        <v>140</v>
      </c>
      <c r="B15" s="74" t="s">
        <v>141</v>
      </c>
      <c r="C15" s="75">
        <v>15000</v>
      </c>
      <c r="D15" s="123"/>
      <c r="E15" s="113"/>
    </row>
    <row r="16" spans="1:12">
      <c r="A16" s="73" t="s">
        <v>142</v>
      </c>
      <c r="B16" s="74" t="s">
        <v>143</v>
      </c>
      <c r="C16" s="75">
        <v>300</v>
      </c>
      <c r="D16" s="123"/>
      <c r="E16" s="113"/>
    </row>
    <row r="17" spans="1:15">
      <c r="A17" s="73" t="s">
        <v>144</v>
      </c>
      <c r="B17" s="74" t="s">
        <v>145</v>
      </c>
      <c r="C17" s="114">
        <v>0.02</v>
      </c>
      <c r="D17" s="123"/>
      <c r="E17" s="113"/>
    </row>
    <row r="18" spans="1:15">
      <c r="A18" s="73" t="s">
        <v>146</v>
      </c>
      <c r="B18" s="74" t="s">
        <v>147</v>
      </c>
      <c r="C18" s="155">
        <v>2</v>
      </c>
      <c r="D18" s="123"/>
    </row>
    <row r="19" spans="1:15" ht="16.5" thickBot="1">
      <c r="A19" s="76" t="s">
        <v>148</v>
      </c>
      <c r="B19" s="77" t="s">
        <v>149</v>
      </c>
      <c r="C19" s="78">
        <f>(C14+C15+C16)*POWER(1+C17,C18)</f>
        <v>112675.31999999999</v>
      </c>
      <c r="D19" s="123"/>
      <c r="F19" s="113"/>
      <c r="G19" s="113"/>
    </row>
    <row r="20" spans="1:15">
      <c r="A20" s="84"/>
      <c r="B20" s="84"/>
      <c r="C20" s="84"/>
      <c r="D20" s="304" t="s">
        <v>384</v>
      </c>
      <c r="E20" s="304" t="s">
        <v>385</v>
      </c>
      <c r="F20" s="304" t="s">
        <v>386</v>
      </c>
      <c r="G20" s="304" t="s">
        <v>387</v>
      </c>
      <c r="H20" s="304" t="s">
        <v>388</v>
      </c>
      <c r="I20" s="304" t="s">
        <v>389</v>
      </c>
      <c r="J20" s="304" t="s">
        <v>390</v>
      </c>
      <c r="K20" s="304" t="s">
        <v>391</v>
      </c>
      <c r="L20" s="304" t="s">
        <v>392</v>
      </c>
      <c r="M20" s="304" t="s">
        <v>393</v>
      </c>
      <c r="N20" s="123"/>
      <c r="O20" s="123"/>
    </row>
    <row r="21" spans="1:15" s="123" customFormat="1" ht="16.5" thickBot="1">
      <c r="C21" s="296">
        <v>44348</v>
      </c>
      <c r="D21" s="296">
        <v>44713</v>
      </c>
      <c r="E21" s="296">
        <v>45078</v>
      </c>
      <c r="F21" s="296">
        <v>45444</v>
      </c>
      <c r="G21" s="296">
        <v>45809</v>
      </c>
      <c r="H21" s="296">
        <v>46174</v>
      </c>
      <c r="I21" s="296">
        <v>46539</v>
      </c>
      <c r="J21" s="296">
        <v>46905</v>
      </c>
      <c r="K21" s="296">
        <v>47270</v>
      </c>
      <c r="L21" s="296">
        <v>47635</v>
      </c>
      <c r="M21" s="296">
        <v>48000</v>
      </c>
    </row>
    <row r="22" spans="1:15" ht="15.75">
      <c r="A22" s="69" t="s">
        <v>22</v>
      </c>
      <c r="B22" s="70" t="s">
        <v>21</v>
      </c>
      <c r="C22" s="85">
        <v>0</v>
      </c>
      <c r="D22" s="86">
        <v>1</v>
      </c>
      <c r="E22" s="86">
        <v>2</v>
      </c>
      <c r="F22" s="86">
        <v>3</v>
      </c>
      <c r="G22" s="86">
        <v>4</v>
      </c>
      <c r="H22" s="86">
        <v>5</v>
      </c>
      <c r="I22" s="86">
        <v>6</v>
      </c>
      <c r="J22" s="86">
        <v>7</v>
      </c>
      <c r="K22" s="86">
        <v>8</v>
      </c>
      <c r="L22" s="86">
        <v>9</v>
      </c>
      <c r="M22" s="87">
        <v>10</v>
      </c>
      <c r="N22" s="123"/>
      <c r="O22" s="123"/>
    </row>
    <row r="23" spans="1:15" ht="15.75">
      <c r="A23" s="88" t="s">
        <v>150</v>
      </c>
      <c r="B23" s="89" t="s">
        <v>151</v>
      </c>
      <c r="C23" s="90">
        <f>+C14</f>
        <v>93000</v>
      </c>
      <c r="D23" s="91">
        <f>+AVERAGE(C23,E23)</f>
        <v>102837.66</v>
      </c>
      <c r="E23" s="91">
        <f>+C19</f>
        <v>112675.31999999999</v>
      </c>
      <c r="F23" s="92">
        <f t="shared" ref="F23:G23" si="0">E23+(E23*$C$17)</f>
        <v>114928.82639999999</v>
      </c>
      <c r="G23" s="92">
        <f t="shared" si="0"/>
        <v>117227.402928</v>
      </c>
      <c r="H23" s="92">
        <f t="shared" ref="H23" si="1">G23+(G23*$C$17)</f>
        <v>119571.95098656</v>
      </c>
      <c r="I23" s="92">
        <f t="shared" ref="I23" si="2">H23+(H23*$C$17)</f>
        <v>121963.3900062912</v>
      </c>
      <c r="J23" s="92">
        <f t="shared" ref="J23" si="3">I23+(I23*$C$17)</f>
        <v>124402.65780641702</v>
      </c>
      <c r="K23" s="92">
        <f>J23+(J23*$C$17)</f>
        <v>126890.71096254536</v>
      </c>
      <c r="L23" s="92">
        <f>K23+(K23*C17)</f>
        <v>129428.52518179627</v>
      </c>
      <c r="M23" s="93">
        <f>L23+(L23*C17)</f>
        <v>132017.0956854322</v>
      </c>
      <c r="N23" s="123"/>
      <c r="O23" s="123"/>
    </row>
    <row r="24" spans="1:15" ht="15.75">
      <c r="A24" s="94" t="s">
        <v>152</v>
      </c>
      <c r="B24" s="74" t="s">
        <v>153</v>
      </c>
      <c r="C24" s="74"/>
      <c r="D24" s="95">
        <f>D23-C23</f>
        <v>9837.6600000000035</v>
      </c>
      <c r="E24" s="95">
        <f t="shared" ref="E24:M24" si="4">E23-D23</f>
        <v>9837.6599999999889</v>
      </c>
      <c r="F24" s="95">
        <f t="shared" si="4"/>
        <v>2253.5063999999984</v>
      </c>
      <c r="G24" s="95">
        <f t="shared" si="4"/>
        <v>2298.5765280000051</v>
      </c>
      <c r="H24" s="95">
        <f t="shared" si="4"/>
        <v>2344.5480585600017</v>
      </c>
      <c r="I24" s="95">
        <f t="shared" si="4"/>
        <v>2391.4390197312023</v>
      </c>
      <c r="J24" s="95">
        <f t="shared" si="4"/>
        <v>2439.2678001258173</v>
      </c>
      <c r="K24" s="95">
        <f t="shared" si="4"/>
        <v>2488.0531561283424</v>
      </c>
      <c r="L24" s="95">
        <f t="shared" si="4"/>
        <v>2537.8142192509113</v>
      </c>
      <c r="M24" s="95">
        <f t="shared" si="4"/>
        <v>2588.5705036359286</v>
      </c>
      <c r="N24" s="123"/>
      <c r="O24" s="123"/>
    </row>
    <row r="25" spans="1:15" ht="16.5" thickBot="1">
      <c r="A25" s="97" t="s">
        <v>154</v>
      </c>
      <c r="B25" s="98" t="s">
        <v>155</v>
      </c>
      <c r="C25" s="99"/>
      <c r="D25" s="100">
        <f>AVERAGE(C23,D23)</f>
        <v>97918.83</v>
      </c>
      <c r="E25" s="100">
        <f t="shared" ref="E25:M25" si="5">AVERAGE(D23,E23)</f>
        <v>107756.48999999999</v>
      </c>
      <c r="F25" s="100">
        <f t="shared" si="5"/>
        <v>113802.07319999998</v>
      </c>
      <c r="G25" s="100">
        <f t="shared" si="5"/>
        <v>116078.11466399999</v>
      </c>
      <c r="H25" s="100">
        <f t="shared" si="5"/>
        <v>118399.67695728</v>
      </c>
      <c r="I25" s="100">
        <f t="shared" si="5"/>
        <v>120767.67049642559</v>
      </c>
      <c r="J25" s="100">
        <f t="shared" si="5"/>
        <v>123183.02390635411</v>
      </c>
      <c r="K25" s="100">
        <f t="shared" si="5"/>
        <v>125646.6843844812</v>
      </c>
      <c r="L25" s="100">
        <f t="shared" si="5"/>
        <v>128159.61807217082</v>
      </c>
      <c r="M25" s="100">
        <f t="shared" si="5"/>
        <v>130722.81043361424</v>
      </c>
      <c r="N25" s="123"/>
      <c r="O25" s="123"/>
    </row>
    <row r="26" spans="1:15">
      <c r="N26" s="123"/>
      <c r="O26" s="123"/>
    </row>
    <row r="27" spans="1:15" s="123" customFormat="1" ht="15.75"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</row>
    <row r="28" spans="1:15" s="123" customFormat="1" ht="16.5" thickBot="1"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</row>
    <row r="29" spans="1:15" ht="15.75">
      <c r="A29" s="102" t="s">
        <v>22</v>
      </c>
      <c r="B29" s="103" t="s">
        <v>21</v>
      </c>
      <c r="C29" s="104">
        <v>0</v>
      </c>
      <c r="D29" s="105">
        <v>1</v>
      </c>
      <c r="E29" s="105">
        <v>2</v>
      </c>
      <c r="F29" s="105">
        <v>3</v>
      </c>
      <c r="G29" s="105">
        <v>4</v>
      </c>
      <c r="H29" s="105">
        <v>5</v>
      </c>
      <c r="I29" s="105">
        <v>6</v>
      </c>
      <c r="J29" s="105">
        <v>7</v>
      </c>
      <c r="K29" s="105">
        <v>8</v>
      </c>
      <c r="L29" s="105">
        <v>9</v>
      </c>
      <c r="M29" s="106">
        <v>10</v>
      </c>
      <c r="N29" s="123"/>
      <c r="O29" s="123"/>
    </row>
    <row r="30" spans="1:15" ht="15.75">
      <c r="A30" s="94" t="s">
        <v>156</v>
      </c>
      <c r="B30" s="74" t="s">
        <v>157</v>
      </c>
      <c r="C30" s="101">
        <f>+C4</f>
        <v>17000</v>
      </c>
      <c r="D30" s="95">
        <f t="shared" ref="D30:M30" si="6">C30+(C30*$C$32)</f>
        <v>18105</v>
      </c>
      <c r="E30" s="95">
        <f t="shared" si="6"/>
        <v>19281.825000000001</v>
      </c>
      <c r="F30" s="95">
        <f t="shared" si="6"/>
        <v>20535.143625000001</v>
      </c>
      <c r="G30" s="95">
        <f t="shared" si="6"/>
        <v>21869.927960625002</v>
      </c>
      <c r="H30" s="95">
        <f t="shared" si="6"/>
        <v>23291.473278065627</v>
      </c>
      <c r="I30" s="95">
        <f t="shared" si="6"/>
        <v>24805.419041139892</v>
      </c>
      <c r="J30" s="95">
        <f t="shared" si="6"/>
        <v>26417.771278813983</v>
      </c>
      <c r="K30" s="95">
        <f t="shared" si="6"/>
        <v>28134.926411936893</v>
      </c>
      <c r="L30" s="95">
        <f t="shared" si="6"/>
        <v>29963.696628712791</v>
      </c>
      <c r="M30" s="95">
        <f t="shared" si="6"/>
        <v>31911.33690957912</v>
      </c>
      <c r="N30" s="123"/>
      <c r="O30" s="123"/>
    </row>
    <row r="31" spans="1:15" ht="16.5" thickBot="1">
      <c r="A31" s="107" t="s">
        <v>158</v>
      </c>
      <c r="B31" s="108" t="s">
        <v>159</v>
      </c>
      <c r="C31" s="108"/>
      <c r="D31" s="109">
        <f>AVERAGE(C30,D30)</f>
        <v>17552.5</v>
      </c>
      <c r="E31" s="109">
        <f t="shared" ref="E31:M31" si="7">AVERAGE(D30,E30)</f>
        <v>18693.412499999999</v>
      </c>
      <c r="F31" s="109">
        <f t="shared" si="7"/>
        <v>19908.484312500001</v>
      </c>
      <c r="G31" s="109">
        <f t="shared" si="7"/>
        <v>21202.535792812501</v>
      </c>
      <c r="H31" s="109">
        <f t="shared" si="7"/>
        <v>22580.700619345313</v>
      </c>
      <c r="I31" s="109">
        <f t="shared" si="7"/>
        <v>24048.446159602761</v>
      </c>
      <c r="J31" s="109">
        <f t="shared" si="7"/>
        <v>25611.59515997694</v>
      </c>
      <c r="K31" s="109">
        <f t="shared" si="7"/>
        <v>27276.34884537544</v>
      </c>
      <c r="L31" s="109">
        <f t="shared" si="7"/>
        <v>29049.311520324842</v>
      </c>
      <c r="M31" s="109">
        <f t="shared" si="7"/>
        <v>30937.516769145957</v>
      </c>
      <c r="N31" s="123"/>
      <c r="O31" s="123"/>
    </row>
    <row r="32" spans="1:15">
      <c r="B32" s="72" t="s">
        <v>163</v>
      </c>
      <c r="C32" s="72">
        <v>6.5000000000000002E-2</v>
      </c>
      <c r="N32" s="123"/>
      <c r="O32" s="123"/>
    </row>
    <row r="33" spans="1:15" ht="15.75" thickBot="1">
      <c r="N33" s="123"/>
      <c r="O33" s="123"/>
    </row>
    <row r="34" spans="1:15" ht="15.75">
      <c r="A34" s="69" t="s">
        <v>22</v>
      </c>
      <c r="B34" s="70" t="s">
        <v>21</v>
      </c>
      <c r="C34" s="104">
        <v>0</v>
      </c>
      <c r="D34" s="86">
        <v>1</v>
      </c>
      <c r="E34" s="86">
        <v>2</v>
      </c>
      <c r="F34" s="86">
        <v>3</v>
      </c>
      <c r="G34" s="86">
        <v>4</v>
      </c>
      <c r="H34" s="86">
        <v>5</v>
      </c>
      <c r="I34" s="86">
        <v>6</v>
      </c>
      <c r="J34" s="86">
        <v>7</v>
      </c>
      <c r="K34" s="86">
        <v>8</v>
      </c>
      <c r="L34" s="86">
        <v>9</v>
      </c>
      <c r="M34" s="87">
        <v>10</v>
      </c>
      <c r="N34" s="123"/>
      <c r="O34" s="123"/>
    </row>
    <row r="35" spans="1:15" ht="15.75">
      <c r="A35" s="110" t="s">
        <v>154</v>
      </c>
      <c r="B35" s="74" t="s">
        <v>155</v>
      </c>
      <c r="C35" s="74"/>
      <c r="D35" s="95">
        <f>D25</f>
        <v>97918.83</v>
      </c>
      <c r="E35" s="95">
        <f t="shared" ref="E35:M35" si="8">E25</f>
        <v>107756.48999999999</v>
      </c>
      <c r="F35" s="95">
        <f t="shared" si="8"/>
        <v>113802.07319999998</v>
      </c>
      <c r="G35" s="95">
        <f t="shared" si="8"/>
        <v>116078.11466399999</v>
      </c>
      <c r="H35" s="95">
        <f t="shared" si="8"/>
        <v>118399.67695728</v>
      </c>
      <c r="I35" s="95">
        <f t="shared" si="8"/>
        <v>120767.67049642559</v>
      </c>
      <c r="J35" s="95">
        <f t="shared" si="8"/>
        <v>123183.02390635411</v>
      </c>
      <c r="K35" s="95">
        <f t="shared" si="8"/>
        <v>125646.6843844812</v>
      </c>
      <c r="L35" s="95">
        <f t="shared" si="8"/>
        <v>128159.61807217082</v>
      </c>
      <c r="M35" s="95">
        <f t="shared" si="8"/>
        <v>130722.81043361424</v>
      </c>
      <c r="N35" s="123"/>
      <c r="O35" s="123"/>
    </row>
    <row r="36" spans="1:15" ht="15.75">
      <c r="A36" s="94" t="s">
        <v>158</v>
      </c>
      <c r="B36" s="74" t="s">
        <v>160</v>
      </c>
      <c r="C36" s="74"/>
      <c r="D36" s="95">
        <f>D31</f>
        <v>17552.5</v>
      </c>
      <c r="E36" s="95">
        <f t="shared" ref="E36:M36" si="9">E31</f>
        <v>18693.412499999999</v>
      </c>
      <c r="F36" s="95">
        <f t="shared" si="9"/>
        <v>19908.484312500001</v>
      </c>
      <c r="G36" s="95">
        <f t="shared" si="9"/>
        <v>21202.535792812501</v>
      </c>
      <c r="H36" s="95">
        <f t="shared" si="9"/>
        <v>22580.700619345313</v>
      </c>
      <c r="I36" s="95">
        <f t="shared" si="9"/>
        <v>24048.446159602761</v>
      </c>
      <c r="J36" s="95">
        <f t="shared" si="9"/>
        <v>25611.59515997694</v>
      </c>
      <c r="K36" s="95">
        <f t="shared" si="9"/>
        <v>27276.34884537544</v>
      </c>
      <c r="L36" s="95">
        <f t="shared" si="9"/>
        <v>29049.311520324842</v>
      </c>
      <c r="M36" s="95">
        <f t="shared" si="9"/>
        <v>30937.516769145957</v>
      </c>
      <c r="N36" s="123"/>
      <c r="O36" s="123"/>
    </row>
    <row r="37" spans="1:15" ht="16.5" thickBot="1">
      <c r="A37" s="76" t="s">
        <v>161</v>
      </c>
      <c r="B37" s="99" t="s">
        <v>162</v>
      </c>
      <c r="C37" s="99"/>
      <c r="D37" s="111">
        <f>D35+D36</f>
        <v>115471.33</v>
      </c>
      <c r="E37" s="111">
        <f t="shared" ref="E37:M37" si="10">E35+E36</f>
        <v>126449.9025</v>
      </c>
      <c r="F37" s="111">
        <f t="shared" si="10"/>
        <v>133710.55751249997</v>
      </c>
      <c r="G37" s="111">
        <f t="shared" si="10"/>
        <v>137280.65045681249</v>
      </c>
      <c r="H37" s="111">
        <f t="shared" si="10"/>
        <v>140980.37757662532</v>
      </c>
      <c r="I37" s="111">
        <f t="shared" si="10"/>
        <v>144816.11665602835</v>
      </c>
      <c r="J37" s="111">
        <f t="shared" si="10"/>
        <v>148794.61906633104</v>
      </c>
      <c r="K37" s="111">
        <f t="shared" si="10"/>
        <v>152923.03322985664</v>
      </c>
      <c r="L37" s="111">
        <f t="shared" si="10"/>
        <v>157208.92959249567</v>
      </c>
      <c r="M37" s="112">
        <f t="shared" si="10"/>
        <v>161660.32720276021</v>
      </c>
      <c r="N37" s="123"/>
      <c r="O37" s="123"/>
    </row>
    <row r="38" spans="1:15">
      <c r="N38" s="123"/>
      <c r="O38" s="123"/>
    </row>
    <row r="39" spans="1:15">
      <c r="N39" s="123"/>
      <c r="O39" s="123"/>
    </row>
    <row r="40" spans="1:15">
      <c r="N40" s="123"/>
      <c r="O40" s="123"/>
    </row>
    <row r="41" spans="1:15">
      <c r="D41" s="113"/>
      <c r="N41" s="123"/>
      <c r="O41" s="123"/>
    </row>
    <row r="42" spans="1:15">
      <c r="N42" s="123"/>
      <c r="O42" s="123"/>
    </row>
    <row r="43" spans="1:15">
      <c r="N43" s="123"/>
      <c r="O43" s="123"/>
    </row>
  </sheetData>
  <mergeCells count="1">
    <mergeCell ref="A1:H1"/>
  </mergeCells>
  <phoneticPr fontId="50" type="noConversion"/>
  <pageMargins left="0.7" right="0.7" top="0.75" bottom="0.75" header="0.3" footer="0.3"/>
  <pageSetup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6145" r:id="rId4" name="Control 1">
          <controlPr defaultSize="0" r:id="rId5">
            <anchor moveWithCells="1">
              <from>
                <xdr:col>9</xdr:col>
                <xdr:colOff>0</xdr:colOff>
                <xdr:row>1</xdr:row>
                <xdr:rowOff>0</xdr:rowOff>
              </from>
              <to>
                <xdr:col>10</xdr:col>
                <xdr:colOff>66675</xdr:colOff>
                <xdr:row>5</xdr:row>
                <xdr:rowOff>123825</xdr:rowOff>
              </to>
            </anchor>
          </controlPr>
        </control>
      </mc:Choice>
      <mc:Fallback>
        <control shapeId="6145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O41"/>
  <sheetViews>
    <sheetView workbookViewId="0">
      <selection sqref="A1:H1"/>
    </sheetView>
  </sheetViews>
  <sheetFormatPr baseColWidth="10" defaultColWidth="11.42578125" defaultRowHeight="15"/>
  <cols>
    <col min="1" max="1" width="15.140625" style="72" bestFit="1" customWidth="1"/>
    <col min="2" max="2" width="103.5703125" style="72" bestFit="1" customWidth="1"/>
    <col min="3" max="13" width="11" style="72" bestFit="1" customWidth="1"/>
    <col min="14" max="16384" width="11.42578125" style="72"/>
  </cols>
  <sheetData>
    <row r="1" spans="1:12" customFormat="1" ht="21.75" thickBot="1">
      <c r="A1" s="350" t="s">
        <v>284</v>
      </c>
      <c r="B1" s="350"/>
      <c r="C1" s="350"/>
      <c r="D1" s="350"/>
      <c r="E1" s="350"/>
      <c r="F1" s="350"/>
      <c r="G1" s="350"/>
      <c r="H1" s="350"/>
    </row>
    <row r="2" spans="1:12" ht="15.75">
      <c r="A2" s="69" t="s">
        <v>22</v>
      </c>
      <c r="B2" s="70" t="s">
        <v>127</v>
      </c>
      <c r="C2" s="71" t="s">
        <v>281</v>
      </c>
      <c r="H2" s="126"/>
      <c r="I2" s="127"/>
      <c r="J2" s="127"/>
      <c r="K2" s="128"/>
      <c r="L2" s="123"/>
    </row>
    <row r="3" spans="1:12">
      <c r="A3" s="73" t="s">
        <v>128</v>
      </c>
      <c r="B3" s="74" t="s">
        <v>129</v>
      </c>
      <c r="C3" s="75">
        <v>37000</v>
      </c>
      <c r="H3" s="129"/>
      <c r="I3" s="130"/>
      <c r="J3" s="130"/>
      <c r="K3" s="128"/>
      <c r="L3" s="123"/>
    </row>
    <row r="4" spans="1:12">
      <c r="A4" s="73" t="s">
        <v>130</v>
      </c>
      <c r="B4" s="74" t="s">
        <v>131</v>
      </c>
      <c r="C4" s="75">
        <v>3000</v>
      </c>
      <c r="H4" s="129"/>
      <c r="I4" s="131"/>
      <c r="J4" s="131"/>
      <c r="K4" s="128"/>
      <c r="L4" s="123"/>
    </row>
    <row r="5" spans="1:12" ht="16.5" thickBot="1">
      <c r="A5" s="76" t="s">
        <v>132</v>
      </c>
      <c r="B5" s="77" t="s">
        <v>133</v>
      </c>
      <c r="C5" s="78">
        <f>SUM(C3:C4)</f>
        <v>40000</v>
      </c>
      <c r="H5" s="128"/>
      <c r="I5" s="128"/>
      <c r="J5" s="128"/>
      <c r="K5" s="128"/>
      <c r="L5" s="123"/>
    </row>
    <row r="6" spans="1:12" ht="15.75">
      <c r="A6" s="79"/>
      <c r="B6" s="79"/>
      <c r="C6" s="80"/>
      <c r="H6" s="128"/>
      <c r="I6" s="128"/>
      <c r="J6" s="128"/>
      <c r="K6" s="128"/>
      <c r="L6" s="123"/>
    </row>
    <row r="7" spans="1:12" ht="15.75" thickBot="1">
      <c r="H7" s="128"/>
      <c r="I7" s="128"/>
      <c r="J7" s="128"/>
      <c r="K7" s="128"/>
      <c r="L7" s="123"/>
    </row>
    <row r="8" spans="1:12" ht="15.75">
      <c r="A8" s="69" t="s">
        <v>22</v>
      </c>
      <c r="B8" s="70" t="s">
        <v>127</v>
      </c>
      <c r="C8" s="71" t="s">
        <v>281</v>
      </c>
    </row>
    <row r="9" spans="1:12">
      <c r="A9" s="73" t="s">
        <v>134</v>
      </c>
      <c r="B9" s="74" t="s">
        <v>135</v>
      </c>
      <c r="C9" s="75">
        <v>35000</v>
      </c>
    </row>
    <row r="10" spans="1:12">
      <c r="A10" s="73" t="s">
        <v>136</v>
      </c>
      <c r="B10" s="74" t="s">
        <v>137</v>
      </c>
      <c r="C10" s="75">
        <v>2800</v>
      </c>
    </row>
    <row r="11" spans="1:12" ht="16.5" thickBot="1">
      <c r="A11" s="76" t="s">
        <v>138</v>
      </c>
      <c r="B11" s="77" t="s">
        <v>139</v>
      </c>
      <c r="C11" s="78">
        <f>C9+C10</f>
        <v>37800</v>
      </c>
    </row>
    <row r="12" spans="1:12" ht="15.75">
      <c r="A12" s="79"/>
      <c r="B12" s="79"/>
      <c r="C12" s="79"/>
    </row>
    <row r="13" spans="1:12" ht="15.75" thickBot="1"/>
    <row r="14" spans="1:12">
      <c r="A14" s="81" t="s">
        <v>128</v>
      </c>
      <c r="B14" s="82" t="s">
        <v>129</v>
      </c>
      <c r="C14" s="83">
        <f>+C3</f>
        <v>37000</v>
      </c>
      <c r="D14" s="123"/>
    </row>
    <row r="15" spans="1:12">
      <c r="A15" s="73" t="s">
        <v>140</v>
      </c>
      <c r="B15" s="74" t="s">
        <v>141</v>
      </c>
      <c r="C15" s="75">
        <v>2500</v>
      </c>
      <c r="D15" s="123"/>
    </row>
    <row r="16" spans="1:12">
      <c r="A16" s="73" t="s">
        <v>142</v>
      </c>
      <c r="B16" s="74" t="s">
        <v>143</v>
      </c>
      <c r="C16" s="75">
        <v>96</v>
      </c>
      <c r="D16" s="123"/>
    </row>
    <row r="17" spans="1:15">
      <c r="A17" s="73" t="s">
        <v>144</v>
      </c>
      <c r="B17" s="74" t="s">
        <v>145</v>
      </c>
      <c r="C17" s="114">
        <v>0.02</v>
      </c>
      <c r="D17" s="123"/>
    </row>
    <row r="18" spans="1:15">
      <c r="A18" s="73" t="s">
        <v>146</v>
      </c>
      <c r="B18" s="74" t="s">
        <v>147</v>
      </c>
      <c r="C18" s="75">
        <v>4</v>
      </c>
      <c r="D18" s="123"/>
      <c r="H18" s="113"/>
    </row>
    <row r="19" spans="1:15" ht="16.5" thickBot="1">
      <c r="A19" s="76" t="s">
        <v>148</v>
      </c>
      <c r="B19" s="77" t="s">
        <v>149</v>
      </c>
      <c r="C19" s="78">
        <f>(C14+C15+C16)*POWER(1+C17,C18)</f>
        <v>42859.983807359997</v>
      </c>
      <c r="D19" s="123"/>
      <c r="H19" s="113"/>
    </row>
    <row r="20" spans="1:15">
      <c r="A20" s="84"/>
      <c r="B20" s="84"/>
      <c r="C20" s="84"/>
      <c r="N20" s="123"/>
      <c r="O20" s="123"/>
    </row>
    <row r="21" spans="1:15" s="123" customFormat="1" ht="16.5" thickBot="1">
      <c r="C21" s="296">
        <v>43435</v>
      </c>
      <c r="D21" s="296">
        <v>43983</v>
      </c>
      <c r="E21" s="296">
        <v>44348</v>
      </c>
      <c r="F21" s="296">
        <v>44713</v>
      </c>
      <c r="G21" s="297">
        <v>45078</v>
      </c>
      <c r="H21" s="296">
        <v>45444</v>
      </c>
      <c r="I21" s="296">
        <v>45809</v>
      </c>
      <c r="J21" s="297">
        <v>46174</v>
      </c>
      <c r="K21" s="296">
        <v>46539</v>
      </c>
      <c r="L21" s="296">
        <v>46905</v>
      </c>
      <c r="M21" s="296">
        <v>47270</v>
      </c>
    </row>
    <row r="22" spans="1:15" ht="15.75">
      <c r="A22" s="69" t="s">
        <v>22</v>
      </c>
      <c r="B22" s="70" t="s">
        <v>21</v>
      </c>
      <c r="C22" s="85">
        <v>0</v>
      </c>
      <c r="D22" s="86">
        <v>1</v>
      </c>
      <c r="E22" s="86">
        <v>2</v>
      </c>
      <c r="F22" s="86">
        <v>3</v>
      </c>
      <c r="G22" s="86">
        <v>4</v>
      </c>
      <c r="H22" s="86">
        <v>5</v>
      </c>
      <c r="I22" s="86">
        <v>6</v>
      </c>
      <c r="J22" s="86">
        <v>7</v>
      </c>
      <c r="K22" s="86">
        <v>8</v>
      </c>
      <c r="L22" s="86">
        <v>9</v>
      </c>
      <c r="M22" s="87">
        <v>10</v>
      </c>
      <c r="N22" s="123"/>
      <c r="O22" s="123"/>
    </row>
    <row r="23" spans="1:15" ht="15.75">
      <c r="A23" s="88" t="s">
        <v>150</v>
      </c>
      <c r="B23" s="89" t="s">
        <v>151</v>
      </c>
      <c r="C23" s="90">
        <f>+C14</f>
        <v>37000</v>
      </c>
      <c r="D23" s="91">
        <f>C23+((G23-C23)/3)</f>
        <v>38953.327935786663</v>
      </c>
      <c r="E23" s="91">
        <f t="shared" ref="E23:F23" si="0">D23+((H23-D23)/3)</f>
        <v>40541.27978502684</v>
      </c>
      <c r="F23" s="91">
        <f t="shared" si="0"/>
        <v>41891.362241077004</v>
      </c>
      <c r="G23" s="91">
        <f>+C19</f>
        <v>42859.983807359997</v>
      </c>
      <c r="H23" s="92">
        <f t="shared" ref="H23:J23" si="1">G23+(G23*$C$17)</f>
        <v>43717.183483507193</v>
      </c>
      <c r="I23" s="92">
        <f t="shared" si="1"/>
        <v>44591.52715317734</v>
      </c>
      <c r="J23" s="92">
        <f t="shared" si="1"/>
        <v>45483.357696240884</v>
      </c>
      <c r="K23" s="92">
        <f>J23+(J23*$C$17)</f>
        <v>46393.024850165704</v>
      </c>
      <c r="L23" s="92">
        <f>K23+(K23*C17)</f>
        <v>47320.885347169016</v>
      </c>
      <c r="M23" s="93">
        <f>L23+(L23*C17)</f>
        <v>48267.303054112395</v>
      </c>
      <c r="N23" s="123"/>
      <c r="O23" s="123"/>
    </row>
    <row r="24" spans="1:15" ht="15.75">
      <c r="A24" s="94" t="s">
        <v>152</v>
      </c>
      <c r="B24" s="74" t="s">
        <v>153</v>
      </c>
      <c r="C24" s="74"/>
      <c r="D24" s="95">
        <f>D23-C23</f>
        <v>1953.3279357866631</v>
      </c>
      <c r="E24" s="95">
        <f t="shared" ref="E24:M24" si="2">E23-D23</f>
        <v>1587.9518492401767</v>
      </c>
      <c r="F24" s="95">
        <f t="shared" si="2"/>
        <v>1350.0824560501642</v>
      </c>
      <c r="G24" s="95">
        <f t="shared" si="2"/>
        <v>968.62156628299272</v>
      </c>
      <c r="H24" s="95">
        <f t="shared" si="2"/>
        <v>857.19967614719644</v>
      </c>
      <c r="I24" s="95">
        <f t="shared" si="2"/>
        <v>874.34366967014648</v>
      </c>
      <c r="J24" s="95">
        <f t="shared" si="2"/>
        <v>891.83054306354461</v>
      </c>
      <c r="K24" s="95">
        <f t="shared" si="2"/>
        <v>909.66715392482001</v>
      </c>
      <c r="L24" s="95">
        <f t="shared" si="2"/>
        <v>927.86049700331205</v>
      </c>
      <c r="M24" s="95">
        <f t="shared" si="2"/>
        <v>946.41770694337902</v>
      </c>
      <c r="N24" s="123"/>
      <c r="O24" s="123"/>
    </row>
    <row r="25" spans="1:15" ht="16.5" thickBot="1">
      <c r="A25" s="97" t="s">
        <v>154</v>
      </c>
      <c r="B25" s="98" t="s">
        <v>155</v>
      </c>
      <c r="C25" s="99"/>
      <c r="D25" s="100">
        <f>AVERAGE(C23,D23)</f>
        <v>37976.663967893328</v>
      </c>
      <c r="E25" s="100">
        <f t="shared" ref="E25:M25" si="3">AVERAGE(D23,E23)</f>
        <v>39747.303860406755</v>
      </c>
      <c r="F25" s="100">
        <f t="shared" si="3"/>
        <v>41216.321013051922</v>
      </c>
      <c r="G25" s="100">
        <f t="shared" si="3"/>
        <v>42375.6730242185</v>
      </c>
      <c r="H25" s="100">
        <f t="shared" si="3"/>
        <v>43288.583645433595</v>
      </c>
      <c r="I25" s="100">
        <f t="shared" si="3"/>
        <v>44154.355318342263</v>
      </c>
      <c r="J25" s="100">
        <f t="shared" si="3"/>
        <v>45037.442424709108</v>
      </c>
      <c r="K25" s="100">
        <f t="shared" si="3"/>
        <v>45938.191273203294</v>
      </c>
      <c r="L25" s="100">
        <f t="shared" si="3"/>
        <v>46856.955098667357</v>
      </c>
      <c r="M25" s="100">
        <f t="shared" si="3"/>
        <v>47794.094200640706</v>
      </c>
      <c r="N25" s="123"/>
      <c r="O25" s="123"/>
    </row>
    <row r="26" spans="1:15">
      <c r="N26" s="123"/>
      <c r="O26" s="123"/>
    </row>
    <row r="27" spans="1:15" s="123" customFormat="1" ht="16.5" thickBot="1"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</row>
    <row r="28" spans="1:15" ht="15.75">
      <c r="A28" s="102" t="s">
        <v>22</v>
      </c>
      <c r="B28" s="103" t="s">
        <v>21</v>
      </c>
      <c r="C28" s="104">
        <v>0</v>
      </c>
      <c r="D28" s="105">
        <v>1</v>
      </c>
      <c r="E28" s="105">
        <v>2</v>
      </c>
      <c r="F28" s="105">
        <v>3</v>
      </c>
      <c r="G28" s="105">
        <v>4</v>
      </c>
      <c r="H28" s="105">
        <v>5</v>
      </c>
      <c r="I28" s="105">
        <v>6</v>
      </c>
      <c r="J28" s="105">
        <v>7</v>
      </c>
      <c r="K28" s="105">
        <v>8</v>
      </c>
      <c r="L28" s="105">
        <v>9</v>
      </c>
      <c r="M28" s="106">
        <v>10</v>
      </c>
      <c r="N28" s="123"/>
      <c r="O28" s="123"/>
    </row>
    <row r="29" spans="1:15" ht="15.75">
      <c r="A29" s="94" t="s">
        <v>156</v>
      </c>
      <c r="B29" s="74" t="s">
        <v>157</v>
      </c>
      <c r="C29" s="101">
        <f>+C4</f>
        <v>3000</v>
      </c>
      <c r="D29" s="95">
        <f t="shared" ref="D29:M29" si="4">C29+(C29*$C$31)</f>
        <v>3195</v>
      </c>
      <c r="E29" s="95">
        <f t="shared" si="4"/>
        <v>3402.6750000000002</v>
      </c>
      <c r="F29" s="95">
        <f t="shared" si="4"/>
        <v>3623.8488750000001</v>
      </c>
      <c r="G29" s="95">
        <f t="shared" si="4"/>
        <v>3859.3990518750002</v>
      </c>
      <c r="H29" s="95">
        <f t="shared" si="4"/>
        <v>4110.2599902468755</v>
      </c>
      <c r="I29" s="95">
        <f t="shared" si="4"/>
        <v>4377.4268896129224</v>
      </c>
      <c r="J29" s="95">
        <f t="shared" si="4"/>
        <v>4661.9596374377625</v>
      </c>
      <c r="K29" s="95">
        <f t="shared" si="4"/>
        <v>4964.9870138712167</v>
      </c>
      <c r="L29" s="95">
        <f t="shared" si="4"/>
        <v>5287.711169772846</v>
      </c>
      <c r="M29" s="95">
        <f t="shared" si="4"/>
        <v>5631.4123958080809</v>
      </c>
      <c r="N29" s="123"/>
      <c r="O29" s="123"/>
    </row>
    <row r="30" spans="1:15" ht="16.5" thickBot="1">
      <c r="A30" s="107" t="s">
        <v>158</v>
      </c>
      <c r="B30" s="108" t="s">
        <v>159</v>
      </c>
      <c r="C30" s="108"/>
      <c r="D30" s="109">
        <f>AVERAGE(C29,D29)</f>
        <v>3097.5</v>
      </c>
      <c r="E30" s="109">
        <f t="shared" ref="E30:M30" si="5">AVERAGE(D29,E29)</f>
        <v>3298.8375000000001</v>
      </c>
      <c r="F30" s="109">
        <f t="shared" si="5"/>
        <v>3513.2619375000004</v>
      </c>
      <c r="G30" s="109">
        <f t="shared" si="5"/>
        <v>3741.6239634375002</v>
      </c>
      <c r="H30" s="109">
        <f t="shared" si="5"/>
        <v>3984.8295210609376</v>
      </c>
      <c r="I30" s="109">
        <f t="shared" si="5"/>
        <v>4243.8434399298985</v>
      </c>
      <c r="J30" s="109">
        <f t="shared" si="5"/>
        <v>4519.6932635253424</v>
      </c>
      <c r="K30" s="109">
        <f t="shared" si="5"/>
        <v>4813.4733256544896</v>
      </c>
      <c r="L30" s="109">
        <f t="shared" si="5"/>
        <v>5126.3490918220314</v>
      </c>
      <c r="M30" s="109">
        <f t="shared" si="5"/>
        <v>5459.5617827904634</v>
      </c>
      <c r="N30" s="123"/>
      <c r="O30" s="123"/>
    </row>
    <row r="31" spans="1:15">
      <c r="B31" s="72" t="s">
        <v>163</v>
      </c>
      <c r="C31" s="72">
        <v>6.5000000000000002E-2</v>
      </c>
      <c r="N31" s="123"/>
      <c r="O31" s="123"/>
    </row>
    <row r="32" spans="1:15" ht="15.75" thickBot="1">
      <c r="N32" s="123"/>
      <c r="O32" s="123"/>
    </row>
    <row r="33" spans="1:15" ht="15.75">
      <c r="A33" s="69" t="s">
        <v>22</v>
      </c>
      <c r="B33" s="70" t="s">
        <v>21</v>
      </c>
      <c r="C33" s="104">
        <v>0</v>
      </c>
      <c r="D33" s="86">
        <v>1</v>
      </c>
      <c r="E33" s="86">
        <v>2</v>
      </c>
      <c r="F33" s="86">
        <v>3</v>
      </c>
      <c r="G33" s="86">
        <v>4</v>
      </c>
      <c r="H33" s="86">
        <v>5</v>
      </c>
      <c r="I33" s="86">
        <v>6</v>
      </c>
      <c r="J33" s="86">
        <v>7</v>
      </c>
      <c r="K33" s="86">
        <v>8</v>
      </c>
      <c r="L33" s="86">
        <v>9</v>
      </c>
      <c r="M33" s="87">
        <v>10</v>
      </c>
      <c r="N33" s="123"/>
      <c r="O33" s="123"/>
    </row>
    <row r="34" spans="1:15" ht="15.75">
      <c r="A34" s="110" t="s">
        <v>154</v>
      </c>
      <c r="B34" s="74" t="s">
        <v>155</v>
      </c>
      <c r="C34" s="74"/>
      <c r="D34" s="95">
        <f t="shared" ref="D34:M34" si="6">+D25</f>
        <v>37976.663967893328</v>
      </c>
      <c r="E34" s="95">
        <f t="shared" si="6"/>
        <v>39747.303860406755</v>
      </c>
      <c r="F34" s="95">
        <f t="shared" si="6"/>
        <v>41216.321013051922</v>
      </c>
      <c r="G34" s="95">
        <f t="shared" si="6"/>
        <v>42375.6730242185</v>
      </c>
      <c r="H34" s="95">
        <f t="shared" si="6"/>
        <v>43288.583645433595</v>
      </c>
      <c r="I34" s="95">
        <f t="shared" si="6"/>
        <v>44154.355318342263</v>
      </c>
      <c r="J34" s="95">
        <f t="shared" si="6"/>
        <v>45037.442424709108</v>
      </c>
      <c r="K34" s="95">
        <f t="shared" si="6"/>
        <v>45938.191273203294</v>
      </c>
      <c r="L34" s="95">
        <f t="shared" si="6"/>
        <v>46856.955098667357</v>
      </c>
      <c r="M34" s="96">
        <f t="shared" si="6"/>
        <v>47794.094200640706</v>
      </c>
      <c r="N34" s="123"/>
      <c r="O34" s="123"/>
    </row>
    <row r="35" spans="1:15" ht="15.75">
      <c r="A35" s="94" t="s">
        <v>158</v>
      </c>
      <c r="B35" s="74" t="s">
        <v>160</v>
      </c>
      <c r="C35" s="74"/>
      <c r="D35" s="95">
        <f t="shared" ref="D35:M35" si="7">+D30</f>
        <v>3097.5</v>
      </c>
      <c r="E35" s="95">
        <f t="shared" si="7"/>
        <v>3298.8375000000001</v>
      </c>
      <c r="F35" s="95">
        <f t="shared" si="7"/>
        <v>3513.2619375000004</v>
      </c>
      <c r="G35" s="95">
        <f t="shared" si="7"/>
        <v>3741.6239634375002</v>
      </c>
      <c r="H35" s="95">
        <f t="shared" si="7"/>
        <v>3984.8295210609376</v>
      </c>
      <c r="I35" s="95">
        <f t="shared" si="7"/>
        <v>4243.8434399298985</v>
      </c>
      <c r="J35" s="95">
        <f t="shared" si="7"/>
        <v>4519.6932635253424</v>
      </c>
      <c r="K35" s="95">
        <f t="shared" si="7"/>
        <v>4813.4733256544896</v>
      </c>
      <c r="L35" s="95">
        <f t="shared" si="7"/>
        <v>5126.3490918220314</v>
      </c>
      <c r="M35" s="96">
        <f t="shared" si="7"/>
        <v>5459.5617827904634</v>
      </c>
      <c r="N35" s="123"/>
      <c r="O35" s="123"/>
    </row>
    <row r="36" spans="1:15" ht="16.5" thickBot="1">
      <c r="A36" s="76" t="s">
        <v>161</v>
      </c>
      <c r="B36" s="99" t="s">
        <v>162</v>
      </c>
      <c r="C36" s="99"/>
      <c r="D36" s="111">
        <f>D34+D35</f>
        <v>41074.163967893328</v>
      </c>
      <c r="E36" s="111">
        <f t="shared" ref="E36:M36" si="8">E34+E35</f>
        <v>43046.141360406757</v>
      </c>
      <c r="F36" s="111">
        <f t="shared" si="8"/>
        <v>44729.582950551921</v>
      </c>
      <c r="G36" s="111">
        <f t="shared" si="8"/>
        <v>46117.296987656002</v>
      </c>
      <c r="H36" s="111">
        <f t="shared" si="8"/>
        <v>47273.413166494531</v>
      </c>
      <c r="I36" s="111">
        <f t="shared" si="8"/>
        <v>48398.198758272163</v>
      </c>
      <c r="J36" s="111">
        <f t="shared" si="8"/>
        <v>49557.135688234448</v>
      </c>
      <c r="K36" s="111">
        <f t="shared" si="8"/>
        <v>50751.66459885778</v>
      </c>
      <c r="L36" s="111">
        <f t="shared" si="8"/>
        <v>51983.304190489391</v>
      </c>
      <c r="M36" s="112">
        <f t="shared" si="8"/>
        <v>53253.65598343117</v>
      </c>
      <c r="N36" s="123"/>
      <c r="O36" s="123"/>
    </row>
    <row r="37" spans="1:15">
      <c r="N37" s="123"/>
      <c r="O37" s="123"/>
    </row>
    <row r="38" spans="1:15">
      <c r="N38" s="123"/>
      <c r="O38" s="123"/>
    </row>
    <row r="39" spans="1:15">
      <c r="D39" s="113"/>
      <c r="N39" s="123"/>
      <c r="O39" s="123"/>
    </row>
    <row r="40" spans="1:15">
      <c r="N40" s="123"/>
      <c r="O40" s="123"/>
    </row>
    <row r="41" spans="1:15">
      <c r="N41" s="123"/>
      <c r="O41" s="123"/>
    </row>
  </sheetData>
  <mergeCells count="1">
    <mergeCell ref="A1:H1"/>
  </mergeCells>
  <pageMargins left="0.7" right="0.7" top="0.75" bottom="0.75" header="0.3" footer="0.3"/>
  <pageSetup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9457" r:id="rId4" name="Control 1">
          <controlPr defaultSize="0" r:id="rId5">
            <anchor moveWithCells="1">
              <from>
                <xdr:col>9</xdr:col>
                <xdr:colOff>0</xdr:colOff>
                <xdr:row>1</xdr:row>
                <xdr:rowOff>0</xdr:rowOff>
              </from>
              <to>
                <xdr:col>10</xdr:col>
                <xdr:colOff>180975</xdr:colOff>
                <xdr:row>5</xdr:row>
                <xdr:rowOff>123825</xdr:rowOff>
              </to>
            </anchor>
          </controlPr>
        </control>
      </mc:Choice>
      <mc:Fallback>
        <control shapeId="19457" r:id="rId4" name="Control 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O42"/>
  <sheetViews>
    <sheetView topLeftCell="A10" workbookViewId="0">
      <selection activeCell="E14" sqref="E14"/>
    </sheetView>
  </sheetViews>
  <sheetFormatPr baseColWidth="10" defaultColWidth="11.42578125" defaultRowHeight="15"/>
  <cols>
    <col min="1" max="1" width="15.140625" style="72" bestFit="1" customWidth="1"/>
    <col min="2" max="2" width="103.5703125" style="72" bestFit="1" customWidth="1"/>
    <col min="3" max="13" width="11" style="72" bestFit="1" customWidth="1"/>
    <col min="14" max="16384" width="11.42578125" style="72"/>
  </cols>
  <sheetData>
    <row r="1" spans="1:12" customFormat="1" ht="21.75" thickBot="1">
      <c r="A1" s="350" t="s">
        <v>374</v>
      </c>
      <c r="B1" s="350"/>
      <c r="C1" s="350"/>
      <c r="D1" s="350"/>
      <c r="E1" s="350"/>
      <c r="F1" s="350"/>
      <c r="G1" s="350"/>
      <c r="H1" s="350"/>
    </row>
    <row r="2" spans="1:12" ht="15.75">
      <c r="A2" s="69" t="s">
        <v>22</v>
      </c>
      <c r="B2" s="70" t="s">
        <v>127</v>
      </c>
      <c r="C2" s="71" t="s">
        <v>281</v>
      </c>
      <c r="H2" s="126"/>
      <c r="I2" s="127"/>
      <c r="J2" s="127"/>
      <c r="K2" s="128"/>
      <c r="L2" s="123"/>
    </row>
    <row r="3" spans="1:12">
      <c r="A3" s="73" t="s">
        <v>128</v>
      </c>
      <c r="B3" s="74" t="s">
        <v>129</v>
      </c>
      <c r="C3" s="75">
        <v>980</v>
      </c>
      <c r="H3" s="129"/>
      <c r="I3" s="130"/>
      <c r="J3" s="130"/>
      <c r="K3" s="128"/>
      <c r="L3" s="123"/>
    </row>
    <row r="4" spans="1:12">
      <c r="A4" s="73" t="s">
        <v>130</v>
      </c>
      <c r="B4" s="74" t="s">
        <v>131</v>
      </c>
      <c r="C4" s="75">
        <v>20</v>
      </c>
      <c r="H4" s="129"/>
      <c r="I4" s="131"/>
      <c r="J4" s="131"/>
      <c r="K4" s="128"/>
      <c r="L4" s="123"/>
    </row>
    <row r="5" spans="1:12" ht="16.5" thickBot="1">
      <c r="A5" s="76" t="s">
        <v>132</v>
      </c>
      <c r="B5" s="77" t="s">
        <v>133</v>
      </c>
      <c r="C5" s="78">
        <f>SUM(C3:C4)</f>
        <v>1000</v>
      </c>
      <c r="H5" s="128"/>
      <c r="I5" s="128"/>
      <c r="J5" s="128"/>
      <c r="K5" s="128"/>
      <c r="L5" s="123"/>
    </row>
    <row r="6" spans="1:12" ht="15.75">
      <c r="A6" s="79"/>
      <c r="B6" s="79"/>
      <c r="C6" s="80"/>
      <c r="H6" s="128"/>
      <c r="I6" s="128"/>
      <c r="J6" s="128"/>
      <c r="K6" s="128"/>
      <c r="L6" s="123"/>
    </row>
    <row r="7" spans="1:12" ht="15.75" thickBot="1">
      <c r="H7" s="128"/>
      <c r="I7" s="128"/>
      <c r="J7" s="128"/>
      <c r="K7" s="128"/>
      <c r="L7" s="123"/>
    </row>
    <row r="8" spans="1:12" ht="15.75">
      <c r="A8" s="69" t="s">
        <v>22</v>
      </c>
      <c r="B8" s="70" t="s">
        <v>127</v>
      </c>
      <c r="C8" s="71" t="s">
        <v>281</v>
      </c>
    </row>
    <row r="9" spans="1:12">
      <c r="A9" s="73" t="s">
        <v>134</v>
      </c>
      <c r="B9" s="74" t="s">
        <v>135</v>
      </c>
      <c r="C9" s="75">
        <v>970</v>
      </c>
    </row>
    <row r="10" spans="1:12">
      <c r="A10" s="73" t="s">
        <v>136</v>
      </c>
      <c r="B10" s="74" t="s">
        <v>137</v>
      </c>
      <c r="C10" s="75">
        <v>18</v>
      </c>
    </row>
    <row r="11" spans="1:12" ht="16.5" thickBot="1">
      <c r="A11" s="76" t="s">
        <v>138</v>
      </c>
      <c r="B11" s="77" t="s">
        <v>139</v>
      </c>
      <c r="C11" s="78">
        <f>C9+C10</f>
        <v>988</v>
      </c>
    </row>
    <row r="12" spans="1:12" ht="15.75">
      <c r="A12" s="79"/>
      <c r="B12" s="79"/>
      <c r="C12" s="79"/>
    </row>
    <row r="13" spans="1:12" ht="15.75" thickBot="1"/>
    <row r="14" spans="1:12">
      <c r="A14" s="81" t="s">
        <v>128</v>
      </c>
      <c r="B14" s="82" t="s">
        <v>129</v>
      </c>
      <c r="C14" s="83"/>
      <c r="D14" s="123"/>
    </row>
    <row r="15" spans="1:12">
      <c r="A15" s="73" t="s">
        <v>140</v>
      </c>
      <c r="B15" s="74" t="s">
        <v>141</v>
      </c>
      <c r="C15" s="75"/>
      <c r="D15" s="123"/>
    </row>
    <row r="16" spans="1:12">
      <c r="A16" s="73" t="s">
        <v>142</v>
      </c>
      <c r="B16" s="74" t="s">
        <v>143</v>
      </c>
      <c r="C16" s="75"/>
      <c r="D16" s="123"/>
    </row>
    <row r="17" spans="1:15">
      <c r="A17" s="73" t="s">
        <v>144</v>
      </c>
      <c r="B17" s="74" t="s">
        <v>145</v>
      </c>
      <c r="C17" s="114"/>
      <c r="D17" s="123"/>
    </row>
    <row r="18" spans="1:15">
      <c r="A18" s="73" t="s">
        <v>146</v>
      </c>
      <c r="B18" s="74" t="s">
        <v>147</v>
      </c>
      <c r="C18" s="75"/>
      <c r="D18" s="123"/>
    </row>
    <row r="19" spans="1:15" ht="16.5" thickBot="1">
      <c r="A19" s="76" t="s">
        <v>148</v>
      </c>
      <c r="B19" s="77" t="s">
        <v>149</v>
      </c>
      <c r="C19" s="78"/>
      <c r="D19" s="123"/>
    </row>
    <row r="20" spans="1:15">
      <c r="A20" s="84"/>
      <c r="B20" s="84"/>
      <c r="C20" s="84"/>
      <c r="N20" s="123"/>
      <c r="O20" s="123"/>
    </row>
    <row r="21" spans="1:15" s="123" customFormat="1" ht="16.5" thickBot="1">
      <c r="C21" s="296">
        <v>43435</v>
      </c>
      <c r="D21" s="296">
        <v>43983</v>
      </c>
      <c r="E21" s="296">
        <v>44348</v>
      </c>
      <c r="F21" s="296">
        <v>44713</v>
      </c>
      <c r="G21" s="296">
        <v>45078</v>
      </c>
      <c r="H21" s="296">
        <v>45444</v>
      </c>
      <c r="I21" s="296">
        <v>45809</v>
      </c>
      <c r="J21" s="296">
        <v>46174</v>
      </c>
      <c r="K21" s="296">
        <v>46539</v>
      </c>
      <c r="L21" s="296">
        <v>46905</v>
      </c>
      <c r="M21" s="296">
        <v>47270</v>
      </c>
    </row>
    <row r="22" spans="1:15" ht="15.75">
      <c r="A22" s="69" t="s">
        <v>22</v>
      </c>
      <c r="B22" s="70" t="s">
        <v>21</v>
      </c>
      <c r="C22" s="85">
        <v>0</v>
      </c>
      <c r="D22" s="86">
        <v>1</v>
      </c>
      <c r="E22" s="86">
        <v>2</v>
      </c>
      <c r="F22" s="86">
        <v>3</v>
      </c>
      <c r="G22" s="86">
        <v>4</v>
      </c>
      <c r="H22" s="86">
        <v>5</v>
      </c>
      <c r="I22" s="86">
        <v>6</v>
      </c>
      <c r="J22" s="86">
        <v>7</v>
      </c>
      <c r="K22" s="86">
        <v>8</v>
      </c>
      <c r="L22" s="86">
        <v>9</v>
      </c>
      <c r="M22" s="87">
        <v>10</v>
      </c>
      <c r="N22" s="123"/>
      <c r="O22" s="123"/>
    </row>
    <row r="23" spans="1:15" ht="15.75">
      <c r="A23" s="88" t="s">
        <v>150</v>
      </c>
      <c r="B23" s="89" t="s">
        <v>151</v>
      </c>
      <c r="C23" s="90">
        <v>980</v>
      </c>
      <c r="D23" s="91">
        <v>1164.9139459922249</v>
      </c>
      <c r="E23" s="91">
        <v>1349.8278919844497</v>
      </c>
      <c r="F23" s="91">
        <v>1534.7418379766746</v>
      </c>
      <c r="G23" s="91">
        <v>1719.6557839688994</v>
      </c>
      <c r="H23" s="91">
        <v>1904.5697299611243</v>
      </c>
      <c r="I23" s="91">
        <v>2089.4836759533491</v>
      </c>
      <c r="J23" s="91">
        <v>2274.397621945574</v>
      </c>
      <c r="K23" s="92">
        <v>2319.8855743844856</v>
      </c>
      <c r="L23" s="92">
        <v>2366.2832858721754</v>
      </c>
      <c r="M23" s="93">
        <v>2413.6089515896188</v>
      </c>
      <c r="N23" s="123"/>
      <c r="O23" s="123"/>
    </row>
    <row r="24" spans="1:15" ht="15.75">
      <c r="A24" s="94" t="s">
        <v>152</v>
      </c>
      <c r="B24" s="74" t="s">
        <v>153</v>
      </c>
      <c r="C24" s="74"/>
      <c r="D24" s="95">
        <f>D23-C23</f>
        <v>184.91394599222485</v>
      </c>
      <c r="E24" s="95">
        <f t="shared" ref="E24:M24" si="0">E23-D23</f>
        <v>184.91394599222485</v>
      </c>
      <c r="F24" s="95">
        <f t="shared" si="0"/>
        <v>184.91394599222485</v>
      </c>
      <c r="G24" s="95">
        <f t="shared" si="0"/>
        <v>184.91394599222485</v>
      </c>
      <c r="H24" s="95">
        <f t="shared" si="0"/>
        <v>184.91394599222485</v>
      </c>
      <c r="I24" s="95">
        <f t="shared" si="0"/>
        <v>184.91394599222485</v>
      </c>
      <c r="J24" s="95">
        <f t="shared" si="0"/>
        <v>184.91394599222485</v>
      </c>
      <c r="K24" s="95">
        <f t="shared" si="0"/>
        <v>45.487952438911634</v>
      </c>
      <c r="L24" s="95">
        <f t="shared" si="0"/>
        <v>46.397711487689776</v>
      </c>
      <c r="M24" s="96">
        <f t="shared" si="0"/>
        <v>47.325665717443371</v>
      </c>
      <c r="N24" s="123"/>
      <c r="O24" s="123"/>
    </row>
    <row r="25" spans="1:15" ht="16.5" thickBot="1">
      <c r="A25" s="97" t="s">
        <v>154</v>
      </c>
      <c r="B25" s="98" t="s">
        <v>155</v>
      </c>
      <c r="C25" s="99"/>
      <c r="D25" s="100">
        <f>AVERAGE(C23,D23)</f>
        <v>1072.4569729961124</v>
      </c>
      <c r="E25" s="100">
        <f t="shared" ref="E25:M25" si="1">AVERAGE(D23,E23)</f>
        <v>1257.3709189883373</v>
      </c>
      <c r="F25" s="100">
        <f t="shared" si="1"/>
        <v>1442.2848649805621</v>
      </c>
      <c r="G25" s="100">
        <f t="shared" si="1"/>
        <v>1627.198810972787</v>
      </c>
      <c r="H25" s="100">
        <f t="shared" si="1"/>
        <v>1812.1127569650118</v>
      </c>
      <c r="I25" s="100">
        <f t="shared" si="1"/>
        <v>1997.0267029572367</v>
      </c>
      <c r="J25" s="100">
        <f t="shared" si="1"/>
        <v>2181.9406489494613</v>
      </c>
      <c r="K25" s="100">
        <f t="shared" si="1"/>
        <v>2297.1415981650298</v>
      </c>
      <c r="L25" s="100">
        <f t="shared" si="1"/>
        <v>2343.0844301283305</v>
      </c>
      <c r="M25" s="100">
        <f t="shared" si="1"/>
        <v>2389.9461187308971</v>
      </c>
      <c r="N25" s="123"/>
      <c r="O25" s="123"/>
    </row>
    <row r="26" spans="1:15">
      <c r="N26" s="123"/>
      <c r="O26" s="123"/>
    </row>
    <row r="27" spans="1:15" s="123" customFormat="1" ht="16.5" thickBot="1"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</row>
    <row r="28" spans="1:15" ht="15.75">
      <c r="A28" s="102" t="s">
        <v>22</v>
      </c>
      <c r="B28" s="103" t="s">
        <v>21</v>
      </c>
      <c r="C28" s="104">
        <v>0</v>
      </c>
      <c r="D28" s="105">
        <v>1</v>
      </c>
      <c r="E28" s="105">
        <v>2</v>
      </c>
      <c r="F28" s="105">
        <v>3</v>
      </c>
      <c r="G28" s="105">
        <v>4</v>
      </c>
      <c r="H28" s="105">
        <v>5</v>
      </c>
      <c r="I28" s="105">
        <v>6</v>
      </c>
      <c r="J28" s="105">
        <v>7</v>
      </c>
      <c r="K28" s="105">
        <v>8</v>
      </c>
      <c r="L28" s="105">
        <v>9</v>
      </c>
      <c r="M28" s="106">
        <v>10</v>
      </c>
      <c r="N28" s="123"/>
      <c r="O28" s="123"/>
    </row>
    <row r="29" spans="1:15" ht="15.75">
      <c r="A29" s="94" t="s">
        <v>156</v>
      </c>
      <c r="B29" s="74" t="s">
        <v>157</v>
      </c>
      <c r="C29" s="101">
        <f>+C4</f>
        <v>20</v>
      </c>
      <c r="D29" s="95">
        <f t="shared" ref="D29:M29" si="2">C29+(C29*$C$31)</f>
        <v>21.3</v>
      </c>
      <c r="E29" s="95">
        <f t="shared" si="2"/>
        <v>22.6845</v>
      </c>
      <c r="F29" s="95">
        <f t="shared" si="2"/>
        <v>24.1589925</v>
      </c>
      <c r="G29" s="95">
        <f t="shared" si="2"/>
        <v>25.729327012500001</v>
      </c>
      <c r="H29" s="95">
        <f t="shared" si="2"/>
        <v>27.401733268312501</v>
      </c>
      <c r="I29" s="95">
        <f t="shared" si="2"/>
        <v>29.182845930752812</v>
      </c>
      <c r="J29" s="95">
        <f t="shared" si="2"/>
        <v>31.079730916251744</v>
      </c>
      <c r="K29" s="95">
        <f t="shared" si="2"/>
        <v>33.099913425808111</v>
      </c>
      <c r="L29" s="95">
        <f t="shared" si="2"/>
        <v>35.251407798485637</v>
      </c>
      <c r="M29" s="95">
        <f t="shared" si="2"/>
        <v>37.542749305387204</v>
      </c>
      <c r="N29" s="123"/>
      <c r="O29" s="123"/>
    </row>
    <row r="30" spans="1:15" ht="16.5" thickBot="1">
      <c r="A30" s="107" t="s">
        <v>158</v>
      </c>
      <c r="B30" s="108" t="s">
        <v>159</v>
      </c>
      <c r="C30" s="108"/>
      <c r="D30" s="109">
        <f>AVERAGE(C29,D29)</f>
        <v>20.65</v>
      </c>
      <c r="E30" s="109">
        <f t="shared" ref="E30:M30" si="3">AVERAGE(D29,E29)</f>
        <v>21.992249999999999</v>
      </c>
      <c r="F30" s="109">
        <f t="shared" si="3"/>
        <v>23.421746249999998</v>
      </c>
      <c r="G30" s="109">
        <f t="shared" si="3"/>
        <v>24.944159756250002</v>
      </c>
      <c r="H30" s="109">
        <f t="shared" si="3"/>
        <v>26.565530140406253</v>
      </c>
      <c r="I30" s="109">
        <f t="shared" si="3"/>
        <v>28.292289599532658</v>
      </c>
      <c r="J30" s="109">
        <f t="shared" si="3"/>
        <v>30.131288423502276</v>
      </c>
      <c r="K30" s="109">
        <f t="shared" si="3"/>
        <v>32.08982217102993</v>
      </c>
      <c r="L30" s="109">
        <f t="shared" si="3"/>
        <v>34.175660612146871</v>
      </c>
      <c r="M30" s="109">
        <f t="shared" si="3"/>
        <v>36.397078551936417</v>
      </c>
      <c r="N30" s="123"/>
      <c r="O30" s="123"/>
    </row>
    <row r="31" spans="1:15">
      <c r="B31" s="72" t="s">
        <v>163</v>
      </c>
      <c r="C31" s="72">
        <v>6.5000000000000002E-2</v>
      </c>
      <c r="N31" s="123"/>
      <c r="O31" s="123"/>
    </row>
    <row r="32" spans="1:15" ht="15.75" thickBot="1">
      <c r="N32" s="123"/>
      <c r="O32" s="123"/>
    </row>
    <row r="33" spans="1:15" ht="15.75">
      <c r="A33" s="69" t="s">
        <v>22</v>
      </c>
      <c r="B33" s="70" t="s">
        <v>21</v>
      </c>
      <c r="C33" s="104">
        <v>0</v>
      </c>
      <c r="D33" s="86">
        <v>1</v>
      </c>
      <c r="E33" s="86">
        <v>2</v>
      </c>
      <c r="F33" s="86">
        <v>3</v>
      </c>
      <c r="G33" s="86">
        <v>4</v>
      </c>
      <c r="H33" s="86">
        <v>5</v>
      </c>
      <c r="I33" s="86">
        <v>6</v>
      </c>
      <c r="J33" s="86">
        <v>7</v>
      </c>
      <c r="K33" s="86">
        <v>8</v>
      </c>
      <c r="L33" s="86">
        <v>9</v>
      </c>
      <c r="M33" s="87">
        <v>10</v>
      </c>
      <c r="N33" s="123"/>
      <c r="O33" s="123"/>
    </row>
    <row r="34" spans="1:15" ht="15.75">
      <c r="A34" s="110" t="s">
        <v>154</v>
      </c>
      <c r="B34" s="74" t="s">
        <v>155</v>
      </c>
      <c r="C34" s="74"/>
      <c r="D34" s="95">
        <f>D25</f>
        <v>1072.4569729961124</v>
      </c>
      <c r="E34" s="95">
        <f t="shared" ref="E34:M34" si="4">E25</f>
        <v>1257.3709189883373</v>
      </c>
      <c r="F34" s="95">
        <f t="shared" si="4"/>
        <v>1442.2848649805621</v>
      </c>
      <c r="G34" s="95">
        <f t="shared" si="4"/>
        <v>1627.198810972787</v>
      </c>
      <c r="H34" s="95">
        <f t="shared" si="4"/>
        <v>1812.1127569650118</v>
      </c>
      <c r="I34" s="95">
        <f t="shared" si="4"/>
        <v>1997.0267029572367</v>
      </c>
      <c r="J34" s="95">
        <f t="shared" si="4"/>
        <v>2181.9406489494613</v>
      </c>
      <c r="K34" s="95">
        <f t="shared" si="4"/>
        <v>2297.1415981650298</v>
      </c>
      <c r="L34" s="95">
        <f t="shared" si="4"/>
        <v>2343.0844301283305</v>
      </c>
      <c r="M34" s="95">
        <f t="shared" si="4"/>
        <v>2389.9461187308971</v>
      </c>
      <c r="N34" s="123"/>
      <c r="O34" s="123"/>
    </row>
    <row r="35" spans="1:15" ht="15.75">
      <c r="A35" s="94" t="s">
        <v>158</v>
      </c>
      <c r="B35" s="74" t="s">
        <v>160</v>
      </c>
      <c r="C35" s="74"/>
      <c r="D35" s="95">
        <f>D30</f>
        <v>20.65</v>
      </c>
      <c r="E35" s="95">
        <f t="shared" ref="E35:M35" si="5">E30</f>
        <v>21.992249999999999</v>
      </c>
      <c r="F35" s="95">
        <f t="shared" si="5"/>
        <v>23.421746249999998</v>
      </c>
      <c r="G35" s="95">
        <f t="shared" si="5"/>
        <v>24.944159756250002</v>
      </c>
      <c r="H35" s="95">
        <f t="shared" si="5"/>
        <v>26.565530140406253</v>
      </c>
      <c r="I35" s="95">
        <f t="shared" si="5"/>
        <v>28.292289599532658</v>
      </c>
      <c r="J35" s="95">
        <f t="shared" si="5"/>
        <v>30.131288423502276</v>
      </c>
      <c r="K35" s="95">
        <f t="shared" si="5"/>
        <v>32.08982217102993</v>
      </c>
      <c r="L35" s="95">
        <f t="shared" si="5"/>
        <v>34.175660612146871</v>
      </c>
      <c r="M35" s="95">
        <f t="shared" si="5"/>
        <v>36.397078551936417</v>
      </c>
      <c r="N35" s="123"/>
      <c r="O35" s="123"/>
    </row>
    <row r="36" spans="1:15" ht="16.5" thickBot="1">
      <c r="A36" s="76" t="s">
        <v>161</v>
      </c>
      <c r="B36" s="99" t="s">
        <v>162</v>
      </c>
      <c r="C36" s="99"/>
      <c r="D36" s="111">
        <f>D34+D35</f>
        <v>1093.1069729961125</v>
      </c>
      <c r="E36" s="111">
        <f t="shared" ref="E36:M36" si="6">E34+E35</f>
        <v>1279.3631689883373</v>
      </c>
      <c r="F36" s="111">
        <f t="shared" si="6"/>
        <v>1465.7066112305622</v>
      </c>
      <c r="G36" s="111">
        <f t="shared" si="6"/>
        <v>1652.142970729037</v>
      </c>
      <c r="H36" s="111">
        <f t="shared" si="6"/>
        <v>1838.6782871054181</v>
      </c>
      <c r="I36" s="111">
        <f t="shared" si="6"/>
        <v>2025.3189925567694</v>
      </c>
      <c r="J36" s="111">
        <f t="shared" si="6"/>
        <v>2212.0719373729635</v>
      </c>
      <c r="K36" s="111">
        <f t="shared" si="6"/>
        <v>2329.2314203360597</v>
      </c>
      <c r="L36" s="111">
        <f t="shared" si="6"/>
        <v>2377.2600907404772</v>
      </c>
      <c r="M36" s="112">
        <f t="shared" si="6"/>
        <v>2426.3431972828334</v>
      </c>
      <c r="N36" s="123"/>
      <c r="O36" s="123"/>
    </row>
    <row r="37" spans="1:15">
      <c r="N37" s="123"/>
      <c r="O37" s="123"/>
    </row>
    <row r="38" spans="1:15">
      <c r="N38" s="123"/>
      <c r="O38" s="123"/>
    </row>
    <row r="39" spans="1:15">
      <c r="N39" s="123"/>
      <c r="O39" s="123"/>
    </row>
    <row r="40" spans="1:15">
      <c r="D40" s="113"/>
      <c r="N40" s="123"/>
      <c r="O40" s="123"/>
    </row>
    <row r="41" spans="1:15">
      <c r="N41" s="123"/>
      <c r="O41" s="123"/>
    </row>
    <row r="42" spans="1:15">
      <c r="N42" s="123"/>
      <c r="O42" s="123"/>
    </row>
  </sheetData>
  <mergeCells count="1">
    <mergeCell ref="A1:H1"/>
  </mergeCells>
  <pageMargins left="0.7" right="0.7" top="0.75" bottom="0.75" header="0.3" footer="0.3"/>
  <pageSetup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26625" r:id="rId4" name="Control 1">
          <controlPr defaultSize="0" r:id="rId5">
            <anchor moveWithCells="1">
              <from>
                <xdr:col>9</xdr:col>
                <xdr:colOff>0</xdr:colOff>
                <xdr:row>1</xdr:row>
                <xdr:rowOff>0</xdr:rowOff>
              </from>
              <to>
                <xdr:col>10</xdr:col>
                <xdr:colOff>180975</xdr:colOff>
                <xdr:row>5</xdr:row>
                <xdr:rowOff>123825</xdr:rowOff>
              </to>
            </anchor>
          </controlPr>
        </control>
      </mc:Choice>
      <mc:Fallback>
        <control shapeId="26625" r:id="rId4" name="Control 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J33"/>
  <sheetViews>
    <sheetView workbookViewId="0">
      <selection activeCell="H19" sqref="H19"/>
    </sheetView>
  </sheetViews>
  <sheetFormatPr baseColWidth="10" defaultRowHeight="15"/>
  <cols>
    <col min="1" max="1" width="15.5703125" bestFit="1" customWidth="1"/>
    <col min="2" max="2" width="63.5703125" bestFit="1" customWidth="1"/>
    <col min="3" max="3" width="17.85546875" customWidth="1"/>
    <col min="4" max="5" width="15.140625" bestFit="1" customWidth="1"/>
    <col min="6" max="6" width="14.85546875" customWidth="1"/>
    <col min="7" max="7" width="15.5703125" customWidth="1"/>
    <col min="8" max="9" width="19.5703125" bestFit="1" customWidth="1"/>
    <col min="10" max="10" width="21" bestFit="1" customWidth="1"/>
  </cols>
  <sheetData>
    <row r="1" spans="1:9" ht="21">
      <c r="A1" s="350" t="s">
        <v>283</v>
      </c>
      <c r="B1" s="350"/>
      <c r="C1" s="350"/>
      <c r="D1" s="350"/>
      <c r="E1" s="350"/>
      <c r="F1" s="350"/>
      <c r="G1" s="350"/>
      <c r="H1" s="350"/>
    </row>
    <row r="2" spans="1:9" ht="39" customHeight="1">
      <c r="A2" s="8" t="s">
        <v>16</v>
      </c>
      <c r="B2" s="8" t="s">
        <v>17</v>
      </c>
      <c r="C2" s="8"/>
      <c r="D2" s="21">
        <v>2013</v>
      </c>
      <c r="E2" s="21">
        <v>2014</v>
      </c>
      <c r="F2" s="21" t="s">
        <v>121</v>
      </c>
      <c r="G2" s="21" t="s">
        <v>122</v>
      </c>
      <c r="H2" s="21" t="s">
        <v>15</v>
      </c>
      <c r="I2" s="125"/>
    </row>
    <row r="3" spans="1:9">
      <c r="A3" s="4" t="s">
        <v>2</v>
      </c>
      <c r="B3" s="4" t="s">
        <v>0</v>
      </c>
      <c r="C3" s="4"/>
      <c r="D3" s="5">
        <v>6158945289</v>
      </c>
      <c r="E3" s="5">
        <v>6001945289</v>
      </c>
      <c r="F3" s="5">
        <f>D3*$D$11</f>
        <v>6397296471.6842995</v>
      </c>
      <c r="G3" s="54">
        <f t="shared" ref="G3:G10" si="0">E3*$D$12</f>
        <v>6065565909.0633993</v>
      </c>
      <c r="H3" s="5">
        <f t="shared" ref="H3:H10" si="1">AVERAGE(F3:G3)</f>
        <v>6231431190.3738499</v>
      </c>
      <c r="I3" s="125"/>
    </row>
    <row r="4" spans="1:9">
      <c r="A4" s="4" t="s">
        <v>4</v>
      </c>
      <c r="B4" s="4" t="s">
        <v>3</v>
      </c>
      <c r="C4" s="4"/>
      <c r="D4" s="5">
        <v>52378481</v>
      </c>
      <c r="E4" s="5">
        <v>46378481</v>
      </c>
      <c r="F4" s="5">
        <f t="shared" ref="F4:F10" si="2">D4*$D$11</f>
        <v>54405528.214699998</v>
      </c>
      <c r="G4" s="54">
        <f t="shared" si="0"/>
        <v>46870092.898599997</v>
      </c>
      <c r="H4" s="5">
        <f t="shared" si="1"/>
        <v>50637810.556649998</v>
      </c>
      <c r="I4" s="125"/>
    </row>
    <row r="5" spans="1:9">
      <c r="A5" s="4" t="s">
        <v>5</v>
      </c>
      <c r="B5" s="4" t="s">
        <v>1</v>
      </c>
      <c r="C5" s="4"/>
      <c r="D5" s="5">
        <v>5800000</v>
      </c>
      <c r="E5" s="5">
        <v>4348640</v>
      </c>
      <c r="F5" s="5">
        <f t="shared" si="2"/>
        <v>6024460</v>
      </c>
      <c r="G5" s="54">
        <f t="shared" si="0"/>
        <v>4394735.5839999998</v>
      </c>
      <c r="H5" s="5">
        <f t="shared" si="1"/>
        <v>5209597.7919999994</v>
      </c>
      <c r="I5" s="125"/>
    </row>
    <row r="6" spans="1:9">
      <c r="A6" s="4" t="s">
        <v>6</v>
      </c>
      <c r="B6" s="4" t="s">
        <v>7</v>
      </c>
      <c r="C6" s="4"/>
      <c r="D6" s="5">
        <v>877035678</v>
      </c>
      <c r="E6" s="5">
        <v>1000035678</v>
      </c>
      <c r="F6" s="5">
        <f t="shared" si="2"/>
        <v>910976958.73860002</v>
      </c>
      <c r="G6" s="54">
        <f t="shared" si="0"/>
        <v>1010636056.1867999</v>
      </c>
      <c r="H6" s="5">
        <f t="shared" si="1"/>
        <v>960806507.46269989</v>
      </c>
      <c r="I6" s="125"/>
    </row>
    <row r="7" spans="1:9">
      <c r="A7" s="4" t="s">
        <v>9</v>
      </c>
      <c r="B7" s="4" t="s">
        <v>8</v>
      </c>
      <c r="C7" s="4"/>
      <c r="D7" s="5">
        <v>3387504</v>
      </c>
      <c r="E7" s="5">
        <v>3387504</v>
      </c>
      <c r="F7" s="5">
        <f t="shared" si="2"/>
        <v>3518600.4047999997</v>
      </c>
      <c r="G7" s="54">
        <f t="shared" si="0"/>
        <v>3423411.5423999997</v>
      </c>
      <c r="H7" s="5">
        <f t="shared" si="1"/>
        <v>3471005.9735999997</v>
      </c>
      <c r="I7" s="125"/>
    </row>
    <row r="8" spans="1:9">
      <c r="A8" s="4" t="s">
        <v>10</v>
      </c>
      <c r="B8" s="4" t="s">
        <v>12</v>
      </c>
      <c r="C8" s="4"/>
      <c r="D8" s="5">
        <v>82110024</v>
      </c>
      <c r="E8" s="5">
        <v>84000040</v>
      </c>
      <c r="F8" s="5">
        <f t="shared" si="2"/>
        <v>85287681.928800002</v>
      </c>
      <c r="G8" s="54">
        <f t="shared" si="0"/>
        <v>84890440.423999995</v>
      </c>
      <c r="H8" s="5">
        <f t="shared" si="1"/>
        <v>85089061.176400006</v>
      </c>
      <c r="I8" s="125"/>
    </row>
    <row r="9" spans="1:9">
      <c r="A9" s="4" t="s">
        <v>11</v>
      </c>
      <c r="B9" s="4" t="s">
        <v>14</v>
      </c>
      <c r="C9" s="4"/>
      <c r="D9" s="5">
        <v>20745171.969500002</v>
      </c>
      <c r="E9" s="5">
        <v>20745171.969500002</v>
      </c>
      <c r="F9" s="5">
        <f t="shared" si="2"/>
        <v>21548010.12471965</v>
      </c>
      <c r="G9" s="54">
        <f t="shared" si="0"/>
        <v>20965070.792376701</v>
      </c>
      <c r="H9" s="5">
        <f t="shared" si="1"/>
        <v>21256540.458548173</v>
      </c>
      <c r="I9" s="125"/>
    </row>
    <row r="10" spans="1:9" ht="18.75">
      <c r="A10" s="11" t="s">
        <v>97</v>
      </c>
      <c r="B10" s="13" t="s">
        <v>104</v>
      </c>
      <c r="C10" s="4"/>
      <c r="D10" s="26">
        <f>SUM(D3:D9)</f>
        <v>7200402147.9694996</v>
      </c>
      <c r="E10" s="26">
        <f>SUM(E3:E9)</f>
        <v>7160840803.9694996</v>
      </c>
      <c r="F10" s="5">
        <f t="shared" si="2"/>
        <v>7479057711.0959187</v>
      </c>
      <c r="G10" s="60">
        <f t="shared" si="0"/>
        <v>7236745716.4915762</v>
      </c>
      <c r="H10" s="13">
        <f t="shared" si="1"/>
        <v>7357901713.7937469</v>
      </c>
      <c r="I10" s="125"/>
    </row>
    <row r="11" spans="1:9">
      <c r="A11" s="16"/>
      <c r="B11" s="56" t="s">
        <v>369</v>
      </c>
      <c r="C11" s="22"/>
      <c r="D11" s="53">
        <v>1.0387</v>
      </c>
      <c r="E11" s="52"/>
      <c r="F11" s="132"/>
      <c r="G11" s="18"/>
      <c r="H11" s="17"/>
      <c r="I11" s="19"/>
    </row>
    <row r="12" spans="1:9">
      <c r="A12" s="16"/>
      <c r="B12" s="56" t="s">
        <v>370</v>
      </c>
      <c r="C12" s="57"/>
      <c r="D12" s="58">
        <v>1.0105999999999999</v>
      </c>
      <c r="E12" s="52"/>
      <c r="F12" s="17"/>
      <c r="G12" s="17"/>
      <c r="H12" s="17"/>
      <c r="I12" s="19"/>
    </row>
    <row r="13" spans="1:9" ht="45">
      <c r="A13" s="6"/>
      <c r="B13" s="6"/>
      <c r="C13" s="6"/>
      <c r="D13" s="21" t="s">
        <v>123</v>
      </c>
      <c r="E13" s="21" t="s">
        <v>123</v>
      </c>
      <c r="F13" s="21"/>
      <c r="G13" s="21"/>
      <c r="H13" s="21" t="s">
        <v>15</v>
      </c>
    </row>
    <row r="14" spans="1:9" ht="18.75">
      <c r="A14" s="11" t="s">
        <v>106</v>
      </c>
      <c r="B14" s="20" t="s">
        <v>107</v>
      </c>
      <c r="C14" s="20"/>
      <c r="D14" s="5">
        <v>107500</v>
      </c>
      <c r="E14" s="5">
        <v>108900</v>
      </c>
      <c r="F14" s="20"/>
      <c r="G14" s="6"/>
      <c r="H14" s="25">
        <f>AVERAGE(D14,E14)</f>
        <v>108200</v>
      </c>
    </row>
    <row r="17" spans="1:10" ht="18.75">
      <c r="A17" s="12" t="s">
        <v>98</v>
      </c>
      <c r="B17" s="6" t="s">
        <v>101</v>
      </c>
      <c r="C17" s="6"/>
      <c r="D17" s="6"/>
      <c r="E17" s="6"/>
      <c r="F17" s="6"/>
      <c r="G17" s="6"/>
      <c r="H17" s="27">
        <f>H10/(H14*12)</f>
        <v>5666.8990401985111</v>
      </c>
    </row>
    <row r="19" spans="1:10" ht="18.75">
      <c r="A19" s="55" t="s">
        <v>18</v>
      </c>
      <c r="B19" s="48" t="s">
        <v>19</v>
      </c>
      <c r="C19" s="6"/>
      <c r="D19" s="6"/>
      <c r="E19" s="6"/>
      <c r="F19" s="6"/>
      <c r="G19" s="28">
        <v>0.9</v>
      </c>
      <c r="H19" s="27">
        <f>H17*G19</f>
        <v>5100.2091361786597</v>
      </c>
      <c r="I19" s="65"/>
    </row>
    <row r="22" spans="1:10">
      <c r="C22" s="298">
        <v>41974</v>
      </c>
      <c r="D22" s="298">
        <v>42887</v>
      </c>
      <c r="E22" s="298">
        <v>43252</v>
      </c>
      <c r="F22" s="298">
        <v>43617</v>
      </c>
      <c r="G22" s="298">
        <v>43983</v>
      </c>
      <c r="H22" s="298">
        <v>44348</v>
      </c>
    </row>
    <row r="23" spans="1:10">
      <c r="A23" s="7" t="s">
        <v>22</v>
      </c>
      <c r="B23" s="2" t="s">
        <v>21</v>
      </c>
      <c r="C23" s="33">
        <v>0</v>
      </c>
      <c r="D23" s="33">
        <v>1</v>
      </c>
      <c r="E23" s="33">
        <v>2</v>
      </c>
      <c r="F23" s="33">
        <v>3</v>
      </c>
      <c r="G23" s="33">
        <v>4</v>
      </c>
      <c r="H23" s="33">
        <v>5</v>
      </c>
      <c r="I23" s="33" t="s">
        <v>30</v>
      </c>
    </row>
    <row r="24" spans="1:10" ht="18.75">
      <c r="A24" s="12" t="s">
        <v>20</v>
      </c>
      <c r="B24" s="6" t="s">
        <v>103</v>
      </c>
      <c r="C24" s="3">
        <f>(G10)/(E14*12)</f>
        <v>5537.760725812348</v>
      </c>
      <c r="D24" s="3">
        <f>C24-(($C$24-$H$19)/5)</f>
        <v>5450.25040788561</v>
      </c>
      <c r="E24" s="3">
        <f>D24-(($C$24-$H$19)/5)</f>
        <v>5362.740089958872</v>
      </c>
      <c r="F24" s="3">
        <f>E24-(($C$24-$H$19)/5)</f>
        <v>5275.229772032134</v>
      </c>
      <c r="G24" s="3">
        <f>F24-(($C$24-$H$19)/5)</f>
        <v>5187.7194541053959</v>
      </c>
      <c r="H24" s="3">
        <f>G24-(($C$24-$H$19)/5)</f>
        <v>5100.2091361786579</v>
      </c>
      <c r="I24" s="6"/>
      <c r="J24" s="16"/>
    </row>
    <row r="25" spans="1:10" ht="18.75">
      <c r="A25" s="11" t="s">
        <v>31</v>
      </c>
      <c r="B25" s="20" t="s">
        <v>102</v>
      </c>
      <c r="C25" s="4"/>
      <c r="D25" s="3">
        <f>D24*D30*12</f>
        <v>7404254242.6566658</v>
      </c>
      <c r="E25" s="3">
        <f>E24*E30*12</f>
        <v>7700787372.5433311</v>
      </c>
      <c r="F25" s="3">
        <f>F24*F30*12</f>
        <v>7988457257.1955566</v>
      </c>
      <c r="G25" s="3">
        <f>G24*G30*12</f>
        <v>8267330347.0451975</v>
      </c>
      <c r="H25" s="3">
        <f>H24*H30*12</f>
        <v>8537472020.8042259</v>
      </c>
      <c r="I25" s="6"/>
      <c r="J25" s="16"/>
    </row>
    <row r="26" spans="1:10" ht="18.75">
      <c r="A26" s="49" t="s">
        <v>27</v>
      </c>
      <c r="B26" s="50" t="s">
        <v>25</v>
      </c>
      <c r="C26" s="4"/>
      <c r="D26" s="35">
        <v>2.6100000000000002E-2</v>
      </c>
      <c r="E26" s="35">
        <v>2.6100000000000002E-2</v>
      </c>
      <c r="F26" s="35">
        <v>2.6100000000000002E-2</v>
      </c>
      <c r="G26" s="35">
        <v>2.6100000000000002E-2</v>
      </c>
      <c r="H26" s="35">
        <v>2.6100000000000002E-2</v>
      </c>
      <c r="I26" s="6"/>
      <c r="J26" s="16"/>
    </row>
    <row r="27" spans="1:10" ht="18.75">
      <c r="A27" s="115" t="s">
        <v>29</v>
      </c>
      <c r="B27" s="116" t="s">
        <v>26</v>
      </c>
      <c r="C27" s="117">
        <v>1641313545</v>
      </c>
      <c r="D27" s="118">
        <f>C27+(C27*5%)</f>
        <v>1723379222.25</v>
      </c>
      <c r="E27" s="118">
        <f>D27+(D27*5%)</f>
        <v>1809548183.3625</v>
      </c>
      <c r="F27" s="118">
        <f>E27+(E27*5%)</f>
        <v>1900025592.5306249</v>
      </c>
      <c r="G27" s="118">
        <f>F27+(F27*5%)</f>
        <v>1995026872.157156</v>
      </c>
      <c r="H27" s="118">
        <f>G27+(G27*5%)</f>
        <v>2094778215.7650137</v>
      </c>
      <c r="I27" s="119"/>
      <c r="J27" s="16"/>
    </row>
    <row r="28" spans="1:10" ht="18.75">
      <c r="A28" s="115" t="s">
        <v>28</v>
      </c>
      <c r="B28" s="116" t="s">
        <v>95</v>
      </c>
      <c r="C28" s="116"/>
      <c r="D28" s="120">
        <f>((D25*(1+D26))+D27)</f>
        <v>9320884500.6400051</v>
      </c>
      <c r="E28" s="120">
        <f>((E25*(1+E26))+E27)</f>
        <v>9711326106.3292122</v>
      </c>
      <c r="F28" s="120">
        <f>((F25*(1+F26))+F27)</f>
        <v>10096981584.138985</v>
      </c>
      <c r="G28" s="120">
        <f>((G25*(1+G26))+G27)</f>
        <v>10478134541.260233</v>
      </c>
      <c r="H28" s="120">
        <f>((H25*(1+H26))+H27)</f>
        <v>10855078256.312229</v>
      </c>
      <c r="I28" s="121"/>
      <c r="J28" s="16"/>
    </row>
    <row r="29" spans="1:10" ht="18.75">
      <c r="A29" s="115" t="s">
        <v>28</v>
      </c>
      <c r="B29" s="116" t="s">
        <v>96</v>
      </c>
      <c r="C29" s="116"/>
      <c r="D29" s="120">
        <f>D28/12</f>
        <v>776740375.05333376</v>
      </c>
      <c r="E29" s="120">
        <f>E28/12</f>
        <v>809277175.52743435</v>
      </c>
      <c r="F29" s="120">
        <f>F28/12</f>
        <v>841415132.01158202</v>
      </c>
      <c r="G29" s="120">
        <f>G28/12</f>
        <v>873177878.4383527</v>
      </c>
      <c r="H29" s="120">
        <f>H28/12</f>
        <v>904589854.69268572</v>
      </c>
      <c r="I29" s="121">
        <f>SUM(D29:H29)</f>
        <v>4205200415.7233882</v>
      </c>
      <c r="J29" s="16"/>
    </row>
    <row r="30" spans="1:10" ht="18.75">
      <c r="A30" s="122" t="s">
        <v>23</v>
      </c>
      <c r="B30" s="119" t="s">
        <v>24</v>
      </c>
      <c r="C30" s="119"/>
      <c r="D30" s="120">
        <v>113209.695098656</v>
      </c>
      <c r="E30" s="120">
        <v>119664.997795968</v>
      </c>
      <c r="F30" s="120">
        <v>126194.45980577999</v>
      </c>
      <c r="G30" s="120">
        <v>132802.90148340448</v>
      </c>
      <c r="H30" s="120">
        <v>139495.4565072493</v>
      </c>
      <c r="I30" s="121">
        <f>SUM(D30:H30)</f>
        <v>631367.51069105777</v>
      </c>
      <c r="J30" s="16"/>
    </row>
    <row r="31" spans="1:10" ht="18.75">
      <c r="A31" s="11" t="s">
        <v>32</v>
      </c>
      <c r="B31" s="8" t="s">
        <v>33</v>
      </c>
      <c r="C31" s="7"/>
      <c r="D31" s="6"/>
      <c r="E31" s="6"/>
      <c r="F31" s="6"/>
      <c r="G31" s="6"/>
      <c r="H31" s="6"/>
      <c r="I31" s="14">
        <f>I29/I30</f>
        <v>6660.4637465754658</v>
      </c>
      <c r="J31" s="16"/>
    </row>
    <row r="33" spans="5:8">
      <c r="E33" s="67"/>
      <c r="F33" s="67"/>
      <c r="G33" s="67"/>
      <c r="H33" s="67"/>
    </row>
  </sheetData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J29"/>
  <sheetViews>
    <sheetView workbookViewId="0">
      <selection sqref="A1:H1"/>
    </sheetView>
  </sheetViews>
  <sheetFormatPr baseColWidth="10" defaultRowHeight="15"/>
  <cols>
    <col min="1" max="1" width="15.5703125" bestFit="1" customWidth="1"/>
    <col min="2" max="2" width="63.5703125" bestFit="1" customWidth="1"/>
    <col min="3" max="3" width="17.85546875" customWidth="1"/>
    <col min="4" max="5" width="15.140625" bestFit="1" customWidth="1"/>
    <col min="6" max="7" width="14.140625" bestFit="1" customWidth="1"/>
    <col min="8" max="9" width="19.5703125" bestFit="1" customWidth="1"/>
    <col min="10" max="10" width="21" bestFit="1" customWidth="1"/>
  </cols>
  <sheetData>
    <row r="1" spans="1:9" ht="21">
      <c r="A1" s="350" t="s">
        <v>284</v>
      </c>
      <c r="B1" s="350"/>
      <c r="C1" s="350"/>
      <c r="D1" s="350"/>
      <c r="E1" s="350"/>
      <c r="F1" s="350"/>
      <c r="G1" s="350"/>
      <c r="H1" s="350"/>
    </row>
    <row r="2" spans="1:9" ht="39" customHeight="1">
      <c r="A2" s="8" t="s">
        <v>16</v>
      </c>
      <c r="B2" s="8" t="s">
        <v>17</v>
      </c>
      <c r="C2" s="8"/>
      <c r="D2" s="21"/>
      <c r="E2" s="21">
        <v>2014</v>
      </c>
      <c r="F2" s="21"/>
      <c r="G2" s="21"/>
      <c r="H2" s="21" t="s">
        <v>122</v>
      </c>
      <c r="I2" s="125"/>
    </row>
    <row r="3" spans="1:9">
      <c r="A3" s="4" t="s">
        <v>2</v>
      </c>
      <c r="B3" s="4" t="s">
        <v>0</v>
      </c>
      <c r="C3" s="4"/>
      <c r="D3" s="5"/>
      <c r="E3" s="5">
        <v>1001945289</v>
      </c>
      <c r="F3" s="5"/>
      <c r="G3" s="54"/>
      <c r="H3" s="5">
        <f>E3*$D$11</f>
        <v>1012565909.0633999</v>
      </c>
      <c r="I3" s="125"/>
    </row>
    <row r="4" spans="1:9">
      <c r="A4" s="4" t="s">
        <v>4</v>
      </c>
      <c r="B4" s="4" t="s">
        <v>3</v>
      </c>
      <c r="C4" s="4"/>
      <c r="D4" s="5"/>
      <c r="E4" s="5">
        <v>46378481</v>
      </c>
      <c r="F4" s="5"/>
      <c r="G4" s="54"/>
      <c r="H4" s="5">
        <f t="shared" ref="H4:H10" si="0">E4*$D$11</f>
        <v>46870092.898599997</v>
      </c>
      <c r="I4" s="125"/>
    </row>
    <row r="5" spans="1:9">
      <c r="A5" s="4" t="s">
        <v>5</v>
      </c>
      <c r="B5" s="4" t="s">
        <v>1</v>
      </c>
      <c r="C5" s="4"/>
      <c r="D5" s="5"/>
      <c r="E5" s="5">
        <v>4348640</v>
      </c>
      <c r="F5" s="5"/>
      <c r="G5" s="54"/>
      <c r="H5" s="5">
        <f t="shared" si="0"/>
        <v>4394735.5839999998</v>
      </c>
      <c r="I5" s="125"/>
    </row>
    <row r="6" spans="1:9">
      <c r="A6" s="4" t="s">
        <v>6</v>
      </c>
      <c r="B6" s="4" t="s">
        <v>7</v>
      </c>
      <c r="C6" s="4"/>
      <c r="D6" s="5"/>
      <c r="E6" s="5">
        <v>100035678</v>
      </c>
      <c r="F6" s="5"/>
      <c r="G6" s="54"/>
      <c r="H6" s="5">
        <f t="shared" si="0"/>
        <v>101096056.18679999</v>
      </c>
      <c r="I6" s="125"/>
    </row>
    <row r="7" spans="1:9">
      <c r="A7" s="4" t="s">
        <v>9</v>
      </c>
      <c r="B7" s="4" t="s">
        <v>8</v>
      </c>
      <c r="C7" s="4"/>
      <c r="D7" s="5"/>
      <c r="E7" s="5">
        <v>3387504</v>
      </c>
      <c r="F7" s="5"/>
      <c r="G7" s="54"/>
      <c r="H7" s="5">
        <f t="shared" si="0"/>
        <v>3423411.5423999997</v>
      </c>
      <c r="I7" s="125"/>
    </row>
    <row r="8" spans="1:9">
      <c r="A8" s="4" t="s">
        <v>10</v>
      </c>
      <c r="B8" s="4" t="s">
        <v>12</v>
      </c>
      <c r="C8" s="4"/>
      <c r="D8" s="5"/>
      <c r="E8" s="5">
        <v>84000040</v>
      </c>
      <c r="F8" s="5"/>
      <c r="G8" s="54"/>
      <c r="H8" s="5">
        <f t="shared" si="0"/>
        <v>84890440.423999995</v>
      </c>
      <c r="I8" s="125"/>
    </row>
    <row r="9" spans="1:9">
      <c r="A9" s="4" t="s">
        <v>11</v>
      </c>
      <c r="B9" s="4" t="s">
        <v>14</v>
      </c>
      <c r="C9" s="4"/>
      <c r="D9" s="5"/>
      <c r="E9" s="5">
        <v>20745171.969500002</v>
      </c>
      <c r="F9" s="5"/>
      <c r="G9" s="54"/>
      <c r="H9" s="5">
        <f t="shared" si="0"/>
        <v>20965070.792376701</v>
      </c>
      <c r="I9" s="125"/>
    </row>
    <row r="10" spans="1:9" ht="18.75">
      <c r="A10" s="11" t="s">
        <v>97</v>
      </c>
      <c r="B10" s="13" t="s">
        <v>104</v>
      </c>
      <c r="C10" s="4"/>
      <c r="D10" s="26"/>
      <c r="E10" s="26">
        <f>SUM(E3:E9)</f>
        <v>1260840803.9695001</v>
      </c>
      <c r="F10" s="5"/>
      <c r="G10" s="60"/>
      <c r="H10" s="13">
        <f t="shared" si="0"/>
        <v>1274205716.4915767</v>
      </c>
      <c r="I10" s="125"/>
    </row>
    <row r="11" spans="1:9">
      <c r="A11" s="16"/>
      <c r="B11" s="56" t="s">
        <v>370</v>
      </c>
      <c r="C11" s="57"/>
      <c r="D11" s="58">
        <v>1.0105999999999999</v>
      </c>
      <c r="E11" s="52"/>
      <c r="F11" s="17"/>
      <c r="G11" s="17"/>
      <c r="H11" s="17"/>
      <c r="I11" s="19"/>
    </row>
    <row r="12" spans="1:9" ht="30">
      <c r="A12" s="6"/>
      <c r="B12" s="6"/>
      <c r="C12" s="6"/>
      <c r="D12" s="21"/>
      <c r="E12" s="21"/>
      <c r="F12" s="21"/>
      <c r="G12" s="21"/>
      <c r="H12" s="21" t="s">
        <v>123</v>
      </c>
    </row>
    <row r="13" spans="1:9" ht="18.75">
      <c r="A13" s="11" t="s">
        <v>106</v>
      </c>
      <c r="B13" s="20" t="s">
        <v>107</v>
      </c>
      <c r="C13" s="20"/>
      <c r="D13" s="5"/>
      <c r="E13" s="5"/>
      <c r="F13" s="20"/>
      <c r="G13" s="6"/>
      <c r="H13" s="59">
        <v>39800</v>
      </c>
    </row>
    <row r="15" spans="1:9" ht="18.75">
      <c r="A15" s="55" t="s">
        <v>18</v>
      </c>
      <c r="B15" s="48" t="s">
        <v>19</v>
      </c>
      <c r="C15" s="6"/>
      <c r="D15" s="6"/>
      <c r="E15" s="6"/>
      <c r="F15" s="6"/>
      <c r="G15" s="28"/>
      <c r="H15" s="27">
        <v>4402</v>
      </c>
      <c r="I15" s="65"/>
    </row>
    <row r="18" spans="1:10">
      <c r="C18" s="298">
        <v>41974</v>
      </c>
      <c r="D18" s="298">
        <v>42887</v>
      </c>
      <c r="E18" s="298">
        <v>43252</v>
      </c>
      <c r="F18" s="298">
        <v>43617</v>
      </c>
      <c r="G18" s="298">
        <v>43983</v>
      </c>
      <c r="H18" s="298">
        <v>44348</v>
      </c>
    </row>
    <row r="19" spans="1:10">
      <c r="A19" s="7" t="s">
        <v>22</v>
      </c>
      <c r="B19" s="2" t="s">
        <v>21</v>
      </c>
      <c r="C19" s="33">
        <v>0</v>
      </c>
      <c r="D19" s="33">
        <v>1</v>
      </c>
      <c r="E19" s="33">
        <v>2</v>
      </c>
      <c r="F19" s="33">
        <v>3</v>
      </c>
      <c r="G19" s="33">
        <v>4</v>
      </c>
      <c r="H19" s="33">
        <v>5</v>
      </c>
      <c r="I19" s="33" t="s">
        <v>30</v>
      </c>
    </row>
    <row r="20" spans="1:10" ht="18.75">
      <c r="A20" s="12" t="s">
        <v>20</v>
      </c>
      <c r="B20" s="6" t="s">
        <v>103</v>
      </c>
      <c r="C20" s="3">
        <f>H10/(H13*12)</f>
        <v>2667.9349172771704</v>
      </c>
      <c r="D20" s="3">
        <f>C20-(($C$20-$H$15)/5)</f>
        <v>3014.7479338217363</v>
      </c>
      <c r="E20" s="3">
        <f>D20-(($C$20-$H$15)/5)</f>
        <v>3361.5609503663022</v>
      </c>
      <c r="F20" s="3">
        <f>E20-(($C$20-$H$15)/5)</f>
        <v>3708.3739669108681</v>
      </c>
      <c r="G20" s="3">
        <f>F20-(($C$20-$H$15)/5)</f>
        <v>4055.1869834554341</v>
      </c>
      <c r="H20" s="3">
        <f>G20-(($C$20-$H$15)/5)</f>
        <v>4402</v>
      </c>
      <c r="I20" s="6"/>
      <c r="J20" s="16"/>
    </row>
    <row r="21" spans="1:10" ht="18.75">
      <c r="A21" s="11" t="s">
        <v>31</v>
      </c>
      <c r="B21" s="20" t="s">
        <v>102</v>
      </c>
      <c r="C21" s="4"/>
      <c r="D21" s="3">
        <f>D20*D26*12</f>
        <v>1472527850.5341015</v>
      </c>
      <c r="E21" s="3">
        <f>E20*E26*12</f>
        <v>1698934243.4324734</v>
      </c>
      <c r="F21" s="3">
        <f>F20*F26*12</f>
        <v>1937686179.887131</v>
      </c>
      <c r="G21" s="3">
        <f>G20*G26*12</f>
        <v>2188988448.4111681</v>
      </c>
      <c r="H21" s="3">
        <f>H20*H26*12</f>
        <v>2453062919.0859551</v>
      </c>
      <c r="I21" s="6"/>
      <c r="J21" s="16"/>
    </row>
    <row r="22" spans="1:10" ht="18.75">
      <c r="A22" s="49" t="s">
        <v>27</v>
      </c>
      <c r="B22" s="50" t="s">
        <v>25</v>
      </c>
      <c r="C22" s="4"/>
      <c r="D22" s="35">
        <v>2.4299999999999999E-2</v>
      </c>
      <c r="E22" s="35">
        <v>2.4299999999999999E-2</v>
      </c>
      <c r="F22" s="35">
        <v>2.4299999999999999E-2</v>
      </c>
      <c r="G22" s="35">
        <v>2.4299999999999999E-2</v>
      </c>
      <c r="H22" s="35">
        <v>2.4299999999999999E-2</v>
      </c>
      <c r="I22" s="6"/>
      <c r="J22" s="16"/>
    </row>
    <row r="23" spans="1:10" ht="18.75">
      <c r="A23" s="115" t="s">
        <v>29</v>
      </c>
      <c r="B23" s="116" t="s">
        <v>26</v>
      </c>
      <c r="C23" s="117">
        <v>241313545</v>
      </c>
      <c r="D23" s="118">
        <f>C23+(C23*5%)</f>
        <v>253379222.25</v>
      </c>
      <c r="E23" s="118">
        <f>D23+(D23*5%)</f>
        <v>266048183.36250001</v>
      </c>
      <c r="F23" s="118">
        <f>E23+(E23*5%)</f>
        <v>279350592.53062499</v>
      </c>
      <c r="G23" s="118">
        <f>F23+(F23*5%)</f>
        <v>293318122.15715623</v>
      </c>
      <c r="H23" s="118">
        <f>G23+(G23*5%)</f>
        <v>307984028.26501405</v>
      </c>
      <c r="I23" s="119"/>
      <c r="J23" s="16"/>
    </row>
    <row r="24" spans="1:10" ht="18.75">
      <c r="A24" s="115" t="s">
        <v>28</v>
      </c>
      <c r="B24" s="116" t="s">
        <v>95</v>
      </c>
      <c r="C24" s="116"/>
      <c r="D24" s="120">
        <f>((D21*(1+D22))+D23)</f>
        <v>1761689499.5520802</v>
      </c>
      <c r="E24" s="120">
        <f>((E21*(1+E22))+E23)</f>
        <v>2006266528.9103825</v>
      </c>
      <c r="F24" s="120">
        <f>((F21*(1+F22))+F23)</f>
        <v>2264122546.5890131</v>
      </c>
      <c r="G24" s="120">
        <f>((G21*(1+G22))+G23)</f>
        <v>2535498989.8647156</v>
      </c>
      <c r="H24" s="120">
        <f>((H21*(1+H22))+H23)</f>
        <v>2820656376.2847581</v>
      </c>
      <c r="I24" s="121"/>
      <c r="J24" s="16"/>
    </row>
    <row r="25" spans="1:10" ht="18.75">
      <c r="A25" s="115" t="s">
        <v>28</v>
      </c>
      <c r="B25" s="116" t="s">
        <v>96</v>
      </c>
      <c r="C25" s="116"/>
      <c r="D25" s="120">
        <f>D24/12</f>
        <v>146807458.29600668</v>
      </c>
      <c r="E25" s="120">
        <f>E24/12</f>
        <v>167188877.40919855</v>
      </c>
      <c r="F25" s="120">
        <f>F24/12</f>
        <v>188676878.88241777</v>
      </c>
      <c r="G25" s="120">
        <f>G24/12</f>
        <v>211291582.48872629</v>
      </c>
      <c r="H25" s="120">
        <f>H24/12</f>
        <v>235054698.02372983</v>
      </c>
      <c r="I25" s="121">
        <f>SUM(D25:H25)</f>
        <v>949019495.10007906</v>
      </c>
      <c r="J25" s="16"/>
    </row>
    <row r="26" spans="1:10" ht="18.75">
      <c r="A26" s="122" t="s">
        <v>23</v>
      </c>
      <c r="B26" s="119" t="s">
        <v>24</v>
      </c>
      <c r="C26" s="119"/>
      <c r="D26" s="120">
        <v>40703.454121160059</v>
      </c>
      <c r="E26" s="120">
        <v>42116.699863480193</v>
      </c>
      <c r="F26" s="120">
        <v>43543.032543300309</v>
      </c>
      <c r="G26" s="120">
        <v>44983.302811557944</v>
      </c>
      <c r="H26" s="120">
        <v>46438.416611501496</v>
      </c>
      <c r="I26" s="121">
        <f>SUM(D26:H26)</f>
        <v>217784.90595099999</v>
      </c>
      <c r="J26" s="16"/>
    </row>
    <row r="27" spans="1:10" ht="18.75">
      <c r="A27" s="11" t="s">
        <v>32</v>
      </c>
      <c r="B27" s="8" t="s">
        <v>33</v>
      </c>
      <c r="C27" s="7"/>
      <c r="D27" s="6"/>
      <c r="E27" s="6"/>
      <c r="F27" s="6"/>
      <c r="G27" s="6"/>
      <c r="H27" s="6"/>
      <c r="I27" s="14">
        <f>I25/I26</f>
        <v>4357.5999491608545</v>
      </c>
      <c r="J27" s="16"/>
    </row>
    <row r="29" spans="1:10">
      <c r="E29" s="67"/>
      <c r="F29" s="67"/>
      <c r="G29" s="67"/>
      <c r="H29" s="67"/>
    </row>
  </sheetData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4"/>
  <dimension ref="A1:J41"/>
  <sheetViews>
    <sheetView topLeftCell="A4" workbookViewId="0">
      <selection activeCell="E26" sqref="E26:I26"/>
    </sheetView>
  </sheetViews>
  <sheetFormatPr baseColWidth="10" defaultRowHeight="15"/>
  <cols>
    <col min="1" max="1" width="15.5703125" bestFit="1" customWidth="1"/>
    <col min="2" max="2" width="63.5703125" bestFit="1" customWidth="1"/>
    <col min="3" max="3" width="17.85546875" customWidth="1"/>
    <col min="4" max="6" width="15.140625" bestFit="1" customWidth="1"/>
    <col min="7" max="9" width="19.5703125" bestFit="1" customWidth="1"/>
    <col min="10" max="10" width="21" bestFit="1" customWidth="1"/>
  </cols>
  <sheetData>
    <row r="1" spans="1:9" ht="39" customHeight="1">
      <c r="A1" s="8" t="s">
        <v>16</v>
      </c>
      <c r="B1" s="354" t="s">
        <v>17</v>
      </c>
      <c r="C1" s="355"/>
      <c r="D1" s="355"/>
      <c r="E1" s="355"/>
      <c r="F1" s="356"/>
      <c r="G1" s="21">
        <v>2018</v>
      </c>
      <c r="H1" s="21" t="s">
        <v>242</v>
      </c>
      <c r="I1" s="125"/>
    </row>
    <row r="2" spans="1:9">
      <c r="A2" s="4" t="s">
        <v>2</v>
      </c>
      <c r="B2" s="351" t="s">
        <v>0</v>
      </c>
      <c r="C2" s="352"/>
      <c r="D2" s="352"/>
      <c r="E2" s="352"/>
      <c r="F2" s="353"/>
      <c r="G2" s="5">
        <v>7408513046.6438999</v>
      </c>
      <c r="H2" s="5">
        <f t="shared" ref="H2:H9" si="0">G2*$G$10</f>
        <v>7459986956.6447477</v>
      </c>
      <c r="I2" s="125"/>
    </row>
    <row r="3" spans="1:9">
      <c r="A3" s="4" t="s">
        <v>4</v>
      </c>
      <c r="B3" s="351" t="s">
        <v>3</v>
      </c>
      <c r="C3" s="352"/>
      <c r="D3" s="352"/>
      <c r="E3" s="352"/>
      <c r="F3" s="353"/>
      <c r="G3" s="5">
        <v>102318727.6831</v>
      </c>
      <c r="H3" s="5">
        <f t="shared" si="0"/>
        <v>103029632.1448998</v>
      </c>
      <c r="I3" s="125"/>
    </row>
    <row r="4" spans="1:9">
      <c r="A4" s="4" t="s">
        <v>5</v>
      </c>
      <c r="B4" s="351" t="s">
        <v>1</v>
      </c>
      <c r="C4" s="352"/>
      <c r="D4" s="352"/>
      <c r="E4" s="352"/>
      <c r="F4" s="353"/>
      <c r="G4" s="5">
        <v>10620098.175999999</v>
      </c>
      <c r="H4" s="5">
        <f t="shared" si="0"/>
        <v>10693885.98932635</v>
      </c>
      <c r="I4" s="125"/>
    </row>
    <row r="5" spans="1:9">
      <c r="A5" s="4" t="s">
        <v>6</v>
      </c>
      <c r="B5" s="351" t="s">
        <v>7</v>
      </c>
      <c r="C5" s="352"/>
      <c r="D5" s="352"/>
      <c r="E5" s="352"/>
      <c r="F5" s="353"/>
      <c r="G5" s="5">
        <v>998656186.29780006</v>
      </c>
      <c r="H5" s="5">
        <f t="shared" si="0"/>
        <v>1005594790.3512235</v>
      </c>
      <c r="I5" s="125"/>
    </row>
    <row r="6" spans="1:9">
      <c r="A6" s="4" t="s">
        <v>9</v>
      </c>
      <c r="B6" s="351" t="s">
        <v>8</v>
      </c>
      <c r="C6" s="352"/>
      <c r="D6" s="352"/>
      <c r="E6" s="352"/>
      <c r="F6" s="353"/>
      <c r="G6" s="5">
        <v>7246313.3903999999</v>
      </c>
      <c r="H6" s="5">
        <f t="shared" si="0"/>
        <v>7296660.3467928702</v>
      </c>
      <c r="I6" s="125"/>
    </row>
    <row r="7" spans="1:9">
      <c r="A7" s="4" t="s">
        <v>10</v>
      </c>
      <c r="B7" s="351" t="s">
        <v>12</v>
      </c>
      <c r="C7" s="352"/>
      <c r="D7" s="352"/>
      <c r="E7" s="352"/>
      <c r="F7" s="353"/>
      <c r="G7" s="5">
        <v>169065292.2168</v>
      </c>
      <c r="H7" s="5">
        <f t="shared" si="0"/>
        <v>170239947.85701337</v>
      </c>
      <c r="I7" s="125"/>
    </row>
    <row r="8" spans="1:9">
      <c r="A8" s="4" t="s">
        <v>11</v>
      </c>
      <c r="B8" s="351" t="s">
        <v>14</v>
      </c>
      <c r="C8" s="352"/>
      <c r="D8" s="352"/>
      <c r="E8" s="352"/>
      <c r="F8" s="353"/>
      <c r="G8" s="5">
        <v>42729671.444629461</v>
      </c>
      <c r="H8" s="5">
        <f t="shared" si="0"/>
        <v>43026554.671865329</v>
      </c>
      <c r="I8" s="125"/>
    </row>
    <row r="9" spans="1:9" ht="18.75">
      <c r="A9" s="11" t="s">
        <v>97</v>
      </c>
      <c r="B9" s="357" t="s">
        <v>104</v>
      </c>
      <c r="C9" s="358"/>
      <c r="D9" s="358"/>
      <c r="E9" s="358"/>
      <c r="F9" s="359"/>
      <c r="G9" s="26">
        <f>SUM(G2:G8)</f>
        <v>8739149335.8526287</v>
      </c>
      <c r="H9" s="13">
        <f t="shared" si="0"/>
        <v>8799868428.0058689</v>
      </c>
      <c r="I9" s="125"/>
    </row>
    <row r="10" spans="1:9" ht="18.75">
      <c r="A10" s="11"/>
      <c r="B10" s="357" t="s">
        <v>285</v>
      </c>
      <c r="C10" s="358"/>
      <c r="D10" s="358"/>
      <c r="E10" s="358"/>
      <c r="F10" s="359"/>
      <c r="G10" s="141">
        <v>1.006947940791461</v>
      </c>
      <c r="H10" s="13"/>
      <c r="I10" s="125"/>
    </row>
    <row r="11" spans="1:9" ht="30">
      <c r="A11" s="6"/>
      <c r="B11" s="6"/>
      <c r="C11" s="6"/>
      <c r="D11" s="21"/>
      <c r="E11" s="21"/>
      <c r="F11" s="21"/>
      <c r="G11" s="21"/>
      <c r="H11" s="21" t="s">
        <v>243</v>
      </c>
    </row>
    <row r="12" spans="1:9">
      <c r="A12" s="6"/>
      <c r="B12" s="6" t="s">
        <v>167</v>
      </c>
      <c r="C12" s="6"/>
      <c r="D12" s="5"/>
      <c r="E12" s="5"/>
      <c r="F12" s="21"/>
      <c r="G12" s="21"/>
      <c r="H12" s="5">
        <v>108200</v>
      </c>
    </row>
    <row r="13" spans="1:9">
      <c r="A13" s="6"/>
      <c r="B13" s="6" t="s">
        <v>168</v>
      </c>
      <c r="C13" s="6"/>
      <c r="D13" s="5"/>
      <c r="E13" s="5"/>
      <c r="F13" s="21"/>
      <c r="G13" s="21"/>
      <c r="H13" s="5">
        <v>39800</v>
      </c>
    </row>
    <row r="14" spans="1:9">
      <c r="A14" s="6"/>
      <c r="B14" s="6" t="s">
        <v>169</v>
      </c>
      <c r="C14" s="6"/>
      <c r="D14" s="5"/>
      <c r="E14" s="5"/>
      <c r="F14" s="21"/>
      <c r="G14" s="21"/>
      <c r="H14" s="5">
        <v>970</v>
      </c>
    </row>
    <row r="15" spans="1:9" ht="18.75">
      <c r="A15" s="11" t="s">
        <v>106</v>
      </c>
      <c r="B15" s="20" t="s">
        <v>107</v>
      </c>
      <c r="C15" s="20"/>
      <c r="D15" s="59"/>
      <c r="E15" s="59"/>
      <c r="F15" s="20"/>
      <c r="G15" s="6"/>
      <c r="H15" s="25">
        <f>SUM(H12:H14)</f>
        <v>148970</v>
      </c>
    </row>
    <row r="16" spans="1:9">
      <c r="D16" s="15"/>
      <c r="E16" s="15"/>
    </row>
    <row r="17" spans="1:10">
      <c r="D17" s="15"/>
      <c r="E17" s="15"/>
    </row>
    <row r="19" spans="1:10" ht="18.75">
      <c r="A19" s="55" t="s">
        <v>18</v>
      </c>
      <c r="B19" s="48" t="s">
        <v>19</v>
      </c>
      <c r="C19" s="6"/>
      <c r="D19" s="6"/>
      <c r="E19" s="6"/>
      <c r="F19" s="6"/>
      <c r="G19" s="28"/>
      <c r="H19" s="27">
        <f>+'CMA APS1'!H19</f>
        <v>5100.2091361786597</v>
      </c>
      <c r="I19" s="65"/>
    </row>
    <row r="20" spans="1:10" ht="18.75">
      <c r="A20" s="11"/>
      <c r="B20" s="357" t="s">
        <v>286</v>
      </c>
      <c r="C20" s="358"/>
      <c r="D20" s="358"/>
      <c r="E20" s="358"/>
      <c r="F20" s="359"/>
      <c r="G20" s="141">
        <v>1.2125621438098704</v>
      </c>
      <c r="H20" s="13"/>
      <c r="I20" s="125"/>
    </row>
    <row r="21" spans="1:10" ht="18.75">
      <c r="A21" s="55"/>
      <c r="B21" s="48"/>
      <c r="C21" s="6"/>
      <c r="D21" s="6"/>
      <c r="E21" s="6"/>
      <c r="F21" s="6"/>
      <c r="G21" s="28"/>
      <c r="H21" s="27"/>
      <c r="I21" s="65"/>
    </row>
    <row r="22" spans="1:10" ht="18.75">
      <c r="A22" s="55" t="s">
        <v>18</v>
      </c>
      <c r="B22" s="48" t="s">
        <v>244</v>
      </c>
      <c r="C22" s="6"/>
      <c r="D22" s="6"/>
      <c r="E22" s="6"/>
      <c r="F22" s="6"/>
      <c r="G22" s="28"/>
      <c r="H22" s="27">
        <f>H19*G10</f>
        <v>5135.6450872808973</v>
      </c>
      <c r="I22" s="65"/>
    </row>
    <row r="24" spans="1:10" ht="15.75">
      <c r="C24" s="296">
        <v>43435</v>
      </c>
      <c r="D24" s="296">
        <v>43983</v>
      </c>
      <c r="E24" s="297">
        <v>44348</v>
      </c>
      <c r="F24" s="296">
        <v>44713</v>
      </c>
      <c r="G24" s="296">
        <v>45078</v>
      </c>
      <c r="H24" s="296">
        <v>45444</v>
      </c>
    </row>
    <row r="25" spans="1:10">
      <c r="A25" s="7" t="s">
        <v>22</v>
      </c>
      <c r="B25" s="2" t="s">
        <v>21</v>
      </c>
      <c r="C25" s="33">
        <v>0</v>
      </c>
      <c r="D25" s="33">
        <v>1</v>
      </c>
      <c r="E25" s="33">
        <v>2</v>
      </c>
      <c r="F25" s="33">
        <v>3</v>
      </c>
      <c r="G25" s="33">
        <v>4</v>
      </c>
      <c r="H25" s="33">
        <v>5</v>
      </c>
      <c r="I25" s="33" t="s">
        <v>30</v>
      </c>
    </row>
    <row r="26" spans="1:10" ht="18.75">
      <c r="A26" s="12" t="s">
        <v>20</v>
      </c>
      <c r="B26" s="6" t="s">
        <v>103</v>
      </c>
      <c r="C26" s="143">
        <f>H9/(H15*12)</f>
        <v>4922.6177686815408</v>
      </c>
      <c r="D26" s="143">
        <f>C26-(($C$26-$H$22)/2)</f>
        <v>5029.1314279812195</v>
      </c>
      <c r="E26" s="143">
        <f>D26-(($C$26-$H$22)/2)</f>
        <v>5135.6450872808982</v>
      </c>
      <c r="F26" s="143">
        <f>+H22</f>
        <v>5135.6450872808973</v>
      </c>
      <c r="G26" s="143">
        <f>+F26</f>
        <v>5135.6450872808973</v>
      </c>
      <c r="H26" s="143">
        <f>+G26</f>
        <v>5135.6450872808973</v>
      </c>
      <c r="I26" s="6"/>
      <c r="J26" s="16"/>
    </row>
    <row r="27" spans="1:10" ht="18.75">
      <c r="A27" s="11" t="s">
        <v>31</v>
      </c>
      <c r="B27" s="20" t="s">
        <v>102</v>
      </c>
      <c r="C27" s="4"/>
      <c r="D27" s="3">
        <f>D26*D38*12</f>
        <v>9513422907.0578041</v>
      </c>
      <c r="E27" s="3">
        <f t="shared" ref="E27:H27" si="1">E26*E38*12</f>
        <v>10524502561.666904</v>
      </c>
      <c r="F27" s="3">
        <f t="shared" si="1"/>
        <v>11087190956.401766</v>
      </c>
      <c r="G27" s="3">
        <f t="shared" si="1"/>
        <v>11404219052.900341</v>
      </c>
      <c r="H27" s="3">
        <f t="shared" si="1"/>
        <v>11714969456.450069</v>
      </c>
      <c r="I27" s="6"/>
      <c r="J27" s="16"/>
    </row>
    <row r="28" spans="1:10" ht="18.75">
      <c r="A28" s="49" t="s">
        <v>27</v>
      </c>
      <c r="B28" s="50" t="s">
        <v>25</v>
      </c>
      <c r="C28" s="4"/>
      <c r="D28" s="144">
        <v>2.6100000000000002E-2</v>
      </c>
      <c r="E28" s="144">
        <v>2.6100000000000002E-2</v>
      </c>
      <c r="F28" s="144">
        <v>2.6100000000000002E-2</v>
      </c>
      <c r="G28" s="144">
        <v>2.6100000000000002E-2</v>
      </c>
      <c r="H28" s="144">
        <v>2.6100000000000002E-2</v>
      </c>
      <c r="I28" s="6"/>
      <c r="J28" s="16"/>
    </row>
    <row r="29" spans="1:10" ht="18.75">
      <c r="A29" s="49"/>
      <c r="B29" s="50" t="s">
        <v>170</v>
      </c>
      <c r="C29" s="5">
        <v>1641313545</v>
      </c>
      <c r="D29" s="5">
        <v>1723379222.25</v>
      </c>
      <c r="E29" s="5">
        <v>1809548183.3625</v>
      </c>
      <c r="F29" s="5">
        <v>1900025592.5306249</v>
      </c>
      <c r="G29" s="5">
        <v>1995026872.157156</v>
      </c>
      <c r="H29" s="5">
        <v>2094778215.7650137</v>
      </c>
      <c r="I29" s="6"/>
      <c r="J29" s="16"/>
    </row>
    <row r="30" spans="1:10" ht="18.75">
      <c r="A30" s="49"/>
      <c r="B30" s="50" t="s">
        <v>171</v>
      </c>
      <c r="C30" s="5">
        <v>241313545</v>
      </c>
      <c r="D30" s="5">
        <v>253379222.25</v>
      </c>
      <c r="E30" s="5">
        <v>266048183.36250001</v>
      </c>
      <c r="F30" s="5">
        <v>279350592.53062499</v>
      </c>
      <c r="G30" s="5">
        <v>293318122.15715623</v>
      </c>
      <c r="H30" s="5">
        <v>307984028.26501405</v>
      </c>
      <c r="I30" s="6"/>
      <c r="J30" s="16"/>
    </row>
    <row r="31" spans="1:10" ht="18.75">
      <c r="A31" s="49"/>
      <c r="B31" s="50" t="s">
        <v>172</v>
      </c>
      <c r="C31" s="5">
        <v>313545</v>
      </c>
      <c r="D31" s="5">
        <v>329222.25</v>
      </c>
      <c r="E31" s="5">
        <v>345683.36249999999</v>
      </c>
      <c r="F31" s="5">
        <v>362967.53062500001</v>
      </c>
      <c r="G31" s="5">
        <v>381115.90715625003</v>
      </c>
      <c r="H31" s="5">
        <v>400171.70251406252</v>
      </c>
      <c r="I31" s="6"/>
      <c r="J31" s="16"/>
    </row>
    <row r="32" spans="1:10" ht="18.75">
      <c r="A32" s="115" t="s">
        <v>29</v>
      </c>
      <c r="B32" s="116" t="s">
        <v>173</v>
      </c>
      <c r="C32" s="117">
        <f>SUM(C29:C31)</f>
        <v>1882940635</v>
      </c>
      <c r="D32" s="117">
        <f t="shared" ref="D32:H32" si="2">SUM(D29:D31)</f>
        <v>1977087666.75</v>
      </c>
      <c r="E32" s="117">
        <f t="shared" si="2"/>
        <v>2075942050.0874999</v>
      </c>
      <c r="F32" s="117">
        <f t="shared" si="2"/>
        <v>2179739152.5918746</v>
      </c>
      <c r="G32" s="117">
        <f t="shared" si="2"/>
        <v>2288726110.2214684</v>
      </c>
      <c r="H32" s="117">
        <f t="shared" si="2"/>
        <v>2403162415.732542</v>
      </c>
      <c r="I32" s="119"/>
      <c r="J32" s="16"/>
    </row>
    <row r="33" spans="1:10" ht="18.75">
      <c r="A33" s="115" t="s">
        <v>28</v>
      </c>
      <c r="B33" s="116" t="s">
        <v>95</v>
      </c>
      <c r="C33" s="116"/>
      <c r="D33" s="120">
        <f>((D27*(1+D28))+D32)</f>
        <v>11738810911.682013</v>
      </c>
      <c r="E33" s="120">
        <f>((E27*(1+E28))+E32)</f>
        <v>12875134128.613911</v>
      </c>
      <c r="F33" s="120">
        <f>((F27*(1+F28))+F32)</f>
        <v>13556305792.955727</v>
      </c>
      <c r="G33" s="120">
        <f>((G27*(1+G28))+G32)</f>
        <v>13990595280.402508</v>
      </c>
      <c r="H33" s="120">
        <f>((H27*(1+H28))+H32)</f>
        <v>14423892574.995958</v>
      </c>
      <c r="I33" s="121"/>
      <c r="J33" s="16"/>
    </row>
    <row r="34" spans="1:10" ht="18.75">
      <c r="A34" s="115" t="s">
        <v>28</v>
      </c>
      <c r="B34" s="116" t="s">
        <v>96</v>
      </c>
      <c r="C34" s="116"/>
      <c r="D34" s="120">
        <f>D33/12</f>
        <v>978234242.64016771</v>
      </c>
      <c r="E34" s="120">
        <f>E33/12</f>
        <v>1072927844.0511593</v>
      </c>
      <c r="F34" s="120">
        <f>F33/12</f>
        <v>1129692149.4129772</v>
      </c>
      <c r="G34" s="120">
        <f>G33/12</f>
        <v>1165882940.0335424</v>
      </c>
      <c r="H34" s="120">
        <f>H33/12</f>
        <v>1201991047.9163299</v>
      </c>
      <c r="I34" s="121">
        <f>SUM(D34:H34)</f>
        <v>5548728224.0541763</v>
      </c>
      <c r="J34" s="16"/>
    </row>
    <row r="35" spans="1:10" ht="18.75">
      <c r="A35" s="115"/>
      <c r="B35" s="116" t="s">
        <v>174</v>
      </c>
      <c r="C35" s="116"/>
      <c r="D35" s="120">
        <f>+'Proy de Suscriptores APS1'!D37</f>
        <v>115471.33</v>
      </c>
      <c r="E35" s="120">
        <f>+'Proy de Suscriptores APS1'!E37</f>
        <v>126449.9025</v>
      </c>
      <c r="F35" s="120">
        <f>+'Proy de Suscriptores APS1'!F37</f>
        <v>133710.55751249997</v>
      </c>
      <c r="G35" s="120">
        <f>+'Proy de Suscriptores APS1'!G37</f>
        <v>137280.65045681249</v>
      </c>
      <c r="H35" s="120">
        <f>+'Proy de Suscriptores APS1'!H37</f>
        <v>140980.37757662532</v>
      </c>
      <c r="I35" s="121"/>
      <c r="J35" s="16"/>
    </row>
    <row r="36" spans="1:10" ht="18.75">
      <c r="A36" s="115"/>
      <c r="B36" s="116" t="s">
        <v>175</v>
      </c>
      <c r="C36" s="116"/>
      <c r="D36" s="120">
        <f>+'Proy de Suscriptores APS2'!D36</f>
        <v>41074.163967893328</v>
      </c>
      <c r="E36" s="120">
        <f>+'Proy de Suscriptores APS2'!E36</f>
        <v>43046.141360406757</v>
      </c>
      <c r="F36" s="120">
        <f>+'Proy de Suscriptores APS2'!F36</f>
        <v>44729.582950551921</v>
      </c>
      <c r="G36" s="120">
        <f>+'Proy de Suscriptores APS2'!G36</f>
        <v>46117.296987656002</v>
      </c>
      <c r="H36" s="120">
        <f>+'Proy de Suscriptores APS2'!H36</f>
        <v>47273.413166494531</v>
      </c>
      <c r="I36" s="121"/>
      <c r="J36" s="16"/>
    </row>
    <row r="37" spans="1:10" ht="18.75">
      <c r="A37" s="115"/>
      <c r="B37" s="116" t="s">
        <v>176</v>
      </c>
      <c r="C37" s="116"/>
      <c r="D37" s="120">
        <f>+'Proy de Suscriptores APS3'!D36</f>
        <v>1093.1069729961125</v>
      </c>
      <c r="E37" s="120">
        <f>+'Proy de Suscriptores APS3'!E36</f>
        <v>1279.3631689883373</v>
      </c>
      <c r="F37" s="120">
        <f>+'Proy de Suscriptores APS3'!F36</f>
        <v>1465.7066112305622</v>
      </c>
      <c r="G37" s="120">
        <f>+'Proy de Suscriptores APS3'!G36</f>
        <v>1652.142970729037</v>
      </c>
      <c r="H37" s="120">
        <f>+'Proy de Suscriptores APS3'!H36</f>
        <v>1838.6782871054181</v>
      </c>
      <c r="I37" s="121"/>
      <c r="J37" s="16"/>
    </row>
    <row r="38" spans="1:10" ht="18.75">
      <c r="A38" s="122" t="s">
        <v>23</v>
      </c>
      <c r="B38" s="119" t="s">
        <v>177</v>
      </c>
      <c r="C38" s="119"/>
      <c r="D38" s="120">
        <f>SUM(D35:D37)</f>
        <v>157638.60094088945</v>
      </c>
      <c r="E38" s="120">
        <f t="shared" ref="E38:H38" si="3">SUM(E35:E37)</f>
        <v>170775.40702939511</v>
      </c>
      <c r="F38" s="120">
        <f t="shared" si="3"/>
        <v>179905.84707428247</v>
      </c>
      <c r="G38" s="120">
        <f t="shared" si="3"/>
        <v>185050.09041519754</v>
      </c>
      <c r="H38" s="120">
        <f t="shared" si="3"/>
        <v>190092.46903022527</v>
      </c>
      <c r="I38" s="121">
        <f>SUM(D38:H38)</f>
        <v>883462.41448998987</v>
      </c>
      <c r="J38" s="16"/>
    </row>
    <row r="39" spans="1:10" ht="18.75">
      <c r="A39" s="11" t="s">
        <v>32</v>
      </c>
      <c r="B39" s="8" t="s">
        <v>33</v>
      </c>
      <c r="C39" s="7"/>
      <c r="D39" s="6"/>
      <c r="E39" s="6"/>
      <c r="F39" s="6"/>
      <c r="G39" s="6"/>
      <c r="H39" s="6"/>
      <c r="I39" s="14">
        <f>I34/I38</f>
        <v>6280.6613309717059</v>
      </c>
      <c r="J39" s="16"/>
    </row>
    <row r="41" spans="1:10">
      <c r="E41" s="67"/>
      <c r="F41" s="67"/>
      <c r="G41" s="67"/>
      <c r="H41" s="67"/>
    </row>
  </sheetData>
  <mergeCells count="11">
    <mergeCell ref="B20:F20"/>
    <mergeCell ref="B7:F7"/>
    <mergeCell ref="B8:F8"/>
    <mergeCell ref="B9:F9"/>
    <mergeCell ref="B10:F10"/>
    <mergeCell ref="B6:F6"/>
    <mergeCell ref="B1:F1"/>
    <mergeCell ref="B2:F2"/>
    <mergeCell ref="B3:F3"/>
    <mergeCell ref="B4:F4"/>
    <mergeCell ref="B5:F5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N28"/>
  <sheetViews>
    <sheetView topLeftCell="C9" zoomScale="90" zoomScaleNormal="90" workbookViewId="0">
      <selection activeCell="G19" sqref="G19"/>
    </sheetView>
  </sheetViews>
  <sheetFormatPr baseColWidth="10" defaultRowHeight="15"/>
  <cols>
    <col min="1" max="1" width="16.42578125" bestFit="1" customWidth="1"/>
    <col min="2" max="2" width="74.7109375" bestFit="1" customWidth="1"/>
    <col min="3" max="3" width="15.140625" bestFit="1" customWidth="1"/>
    <col min="4" max="4" width="14.140625" bestFit="1" customWidth="1"/>
    <col min="5" max="9" width="13" bestFit="1" customWidth="1"/>
    <col min="10" max="13" width="11.140625" bestFit="1" customWidth="1"/>
  </cols>
  <sheetData>
    <row r="1" spans="1:8" ht="21.75" thickBot="1">
      <c r="A1" s="350" t="s">
        <v>283</v>
      </c>
      <c r="B1" s="350"/>
      <c r="C1" s="350"/>
      <c r="D1" s="350"/>
      <c r="E1" s="350"/>
      <c r="F1" s="350"/>
      <c r="G1" s="350"/>
      <c r="H1" s="350"/>
    </row>
    <row r="2" spans="1:8" ht="16.5" thickBot="1">
      <c r="A2" s="360" t="s">
        <v>246</v>
      </c>
      <c r="B2" s="361"/>
      <c r="C2" s="362"/>
    </row>
    <row r="5" spans="1:8">
      <c r="A5" s="145"/>
      <c r="B5" s="145"/>
      <c r="C5" s="154">
        <v>2021</v>
      </c>
    </row>
    <row r="6" spans="1:8">
      <c r="A6" s="145" t="s">
        <v>247</v>
      </c>
      <c r="B6" s="145" t="s">
        <v>248</v>
      </c>
      <c r="C6" s="147">
        <v>18262094</v>
      </c>
    </row>
    <row r="7" spans="1:8">
      <c r="A7" s="145" t="s">
        <v>249</v>
      </c>
      <c r="B7" s="145" t="s">
        <v>250</v>
      </c>
      <c r="C7" s="148">
        <v>93200</v>
      </c>
    </row>
    <row r="8" spans="1:8">
      <c r="A8" s="145" t="s">
        <v>251</v>
      </c>
      <c r="B8" s="145" t="s">
        <v>252</v>
      </c>
      <c r="C8" s="149">
        <f>C6/(C7*12)</f>
        <v>16.328767882689558</v>
      </c>
    </row>
    <row r="9" spans="1:8">
      <c r="A9" s="145" t="s">
        <v>253</v>
      </c>
      <c r="B9" s="145" t="s">
        <v>254</v>
      </c>
      <c r="C9" s="148">
        <v>4033714</v>
      </c>
    </row>
    <row r="10" spans="1:8">
      <c r="A10" s="145" t="s">
        <v>255</v>
      </c>
      <c r="B10" s="145" t="s">
        <v>256</v>
      </c>
      <c r="C10" s="148">
        <v>17110</v>
      </c>
    </row>
    <row r="11" spans="1:8">
      <c r="A11" s="145" t="s">
        <v>257</v>
      </c>
      <c r="B11" s="145" t="s">
        <v>258</v>
      </c>
      <c r="C11" s="149">
        <f>C9/(C10*12)</f>
        <v>19.64598675238652</v>
      </c>
    </row>
    <row r="12" spans="1:8">
      <c r="A12" s="145" t="s">
        <v>259</v>
      </c>
      <c r="B12" s="145" t="s">
        <v>260</v>
      </c>
      <c r="C12" s="149">
        <f>C7/(C7+C10)</f>
        <v>0.84489166893300693</v>
      </c>
    </row>
    <row r="13" spans="1:8">
      <c r="A13" s="146" t="s">
        <v>261</v>
      </c>
      <c r="B13" s="146" t="s">
        <v>262</v>
      </c>
      <c r="C13" s="150">
        <f>(C8*C12)+(C11*(1-C12))</f>
        <v>16.843296165352189</v>
      </c>
    </row>
    <row r="14" spans="1:8">
      <c r="A14" s="145"/>
      <c r="B14" s="145"/>
      <c r="C14" s="145"/>
    </row>
    <row r="15" spans="1:8">
      <c r="A15" s="145" t="s">
        <v>67</v>
      </c>
      <c r="B15" s="145" t="s">
        <v>263</v>
      </c>
      <c r="C15" s="148">
        <f>C16+C17-C18</f>
        <v>42390046</v>
      </c>
    </row>
    <row r="16" spans="1:8">
      <c r="A16" s="145" t="s">
        <v>57</v>
      </c>
      <c r="B16" s="145" t="s">
        <v>264</v>
      </c>
      <c r="C16" s="148">
        <v>42390046</v>
      </c>
    </row>
    <row r="17" spans="1:14">
      <c r="A17" s="145" t="s">
        <v>79</v>
      </c>
      <c r="B17" s="145" t="s">
        <v>265</v>
      </c>
      <c r="C17" s="145">
        <v>0</v>
      </c>
    </row>
    <row r="18" spans="1:14">
      <c r="A18" s="145" t="s">
        <v>266</v>
      </c>
      <c r="B18" s="145" t="s">
        <v>267</v>
      </c>
      <c r="C18" s="145">
        <v>0</v>
      </c>
    </row>
    <row r="19" spans="1:14">
      <c r="A19" s="145" t="s">
        <v>268</v>
      </c>
      <c r="B19" s="145" t="s">
        <v>371</v>
      </c>
      <c r="C19" s="147">
        <f>C6+C9</f>
        <v>22295808</v>
      </c>
    </row>
    <row r="20" spans="1:14">
      <c r="A20" s="145" t="s">
        <v>270</v>
      </c>
      <c r="B20" s="145" t="s">
        <v>271</v>
      </c>
      <c r="C20" s="147">
        <f>C7+C10</f>
        <v>110310</v>
      </c>
    </row>
    <row r="21" spans="1:14">
      <c r="A21" s="145" t="s">
        <v>272</v>
      </c>
      <c r="B21" s="145" t="s">
        <v>273</v>
      </c>
      <c r="C21" s="149">
        <f>(C15-C19)/(C20*12)</f>
        <v>15.180127217236274</v>
      </c>
      <c r="D21" s="304" t="s">
        <v>384</v>
      </c>
      <c r="E21" s="304" t="s">
        <v>385</v>
      </c>
      <c r="F21" s="304" t="s">
        <v>386</v>
      </c>
      <c r="G21" s="304" t="s">
        <v>387</v>
      </c>
      <c r="H21" s="304" t="s">
        <v>388</v>
      </c>
      <c r="I21" s="304" t="s">
        <v>389</v>
      </c>
      <c r="J21" s="304" t="s">
        <v>390</v>
      </c>
      <c r="K21" s="304" t="s">
        <v>391</v>
      </c>
      <c r="L21" s="304" t="s">
        <v>392</v>
      </c>
      <c r="M21" s="304" t="s">
        <v>393</v>
      </c>
    </row>
    <row r="22" spans="1:14" ht="15.75">
      <c r="C22" s="296">
        <v>44348</v>
      </c>
      <c r="D22" s="296">
        <v>44713</v>
      </c>
      <c r="E22" s="296">
        <v>45078</v>
      </c>
      <c r="F22" s="296">
        <v>45444</v>
      </c>
      <c r="G22" s="296">
        <v>45809</v>
      </c>
      <c r="H22" s="296">
        <v>46174</v>
      </c>
      <c r="I22" s="296">
        <v>46539</v>
      </c>
      <c r="J22" s="296">
        <v>46905</v>
      </c>
      <c r="K22" s="296">
        <v>47270</v>
      </c>
      <c r="L22" s="296">
        <v>47635</v>
      </c>
      <c r="M22" s="296">
        <v>48000</v>
      </c>
    </row>
    <row r="23" spans="1:14">
      <c r="A23" s="145"/>
      <c r="B23" s="145"/>
      <c r="C23" s="145">
        <v>0</v>
      </c>
      <c r="D23" s="146">
        <v>1</v>
      </c>
      <c r="E23" s="146">
        <v>2</v>
      </c>
      <c r="F23" s="146">
        <v>3</v>
      </c>
      <c r="G23" s="146">
        <v>4</v>
      </c>
      <c r="H23" s="146">
        <v>5</v>
      </c>
      <c r="I23" s="146">
        <v>6</v>
      </c>
      <c r="J23" s="146">
        <v>7</v>
      </c>
      <c r="K23" s="146">
        <v>8</v>
      </c>
      <c r="L23" s="146">
        <v>9</v>
      </c>
      <c r="M23" s="146">
        <v>10</v>
      </c>
    </row>
    <row r="24" spans="1:14">
      <c r="A24" s="145" t="s">
        <v>274</v>
      </c>
      <c r="B24" s="145" t="s">
        <v>275</v>
      </c>
      <c r="C24" s="149">
        <f>+C13</f>
        <v>16.843296165352189</v>
      </c>
      <c r="D24" s="149">
        <f>C24</f>
        <v>16.843296165352189</v>
      </c>
      <c r="E24" s="149">
        <f t="shared" ref="E24:M24" si="0">D24</f>
        <v>16.843296165352189</v>
      </c>
      <c r="F24" s="149">
        <f t="shared" si="0"/>
        <v>16.843296165352189</v>
      </c>
      <c r="G24" s="149">
        <f t="shared" si="0"/>
        <v>16.843296165352189</v>
      </c>
      <c r="H24" s="149">
        <f t="shared" si="0"/>
        <v>16.843296165352189</v>
      </c>
      <c r="I24" s="149">
        <f t="shared" si="0"/>
        <v>16.843296165352189</v>
      </c>
      <c r="J24" s="149">
        <f t="shared" si="0"/>
        <v>16.843296165352189</v>
      </c>
      <c r="K24" s="149">
        <f t="shared" si="0"/>
        <v>16.843296165352189</v>
      </c>
      <c r="L24" s="149">
        <f t="shared" si="0"/>
        <v>16.843296165352189</v>
      </c>
      <c r="M24" s="149">
        <f t="shared" si="0"/>
        <v>16.843296165352189</v>
      </c>
      <c r="N24" s="65"/>
    </row>
    <row r="25" spans="1:14">
      <c r="A25" s="145" t="s">
        <v>276</v>
      </c>
      <c r="B25" s="145" t="s">
        <v>277</v>
      </c>
      <c r="C25" s="149">
        <f>+C21</f>
        <v>15.180127217236274</v>
      </c>
      <c r="D25" s="149">
        <f>AVERAGE(C25,E25)</f>
        <v>12.885095412927207</v>
      </c>
      <c r="E25" s="153">
        <f>C25-((C25-6)*0.5)</f>
        <v>10.590063608618138</v>
      </c>
      <c r="F25" s="149">
        <f t="shared" ref="F25:G25" si="1">E25-0.45</f>
        <v>10.140063608618139</v>
      </c>
      <c r="G25" s="149">
        <f t="shared" si="1"/>
        <v>9.6900636086181393</v>
      </c>
      <c r="H25" s="149">
        <f t="shared" ref="H25" si="2">G25-0.45</f>
        <v>9.24006360861814</v>
      </c>
      <c r="I25" s="149">
        <f t="shared" ref="I25" si="3">H25-0.45</f>
        <v>8.7900636086181407</v>
      </c>
      <c r="J25" s="153">
        <f>C25-((C25-6)*0.75)</f>
        <v>8.2950318043090689</v>
      </c>
      <c r="K25" s="151">
        <f>J25-0.25</f>
        <v>8.0450318043090689</v>
      </c>
      <c r="L25" s="151">
        <f>K25-0.25</f>
        <v>7.7950318043090689</v>
      </c>
      <c r="M25" s="151">
        <f>L25-0.25</f>
        <v>7.5450318043090689</v>
      </c>
    </row>
    <row r="26" spans="1:14">
      <c r="A26" s="145" t="s">
        <v>278</v>
      </c>
      <c r="B26" s="145" t="s">
        <v>279</v>
      </c>
      <c r="C26" s="145"/>
      <c r="D26" s="149">
        <f>D24+D25</f>
        <v>29.728391578279396</v>
      </c>
      <c r="E26" s="149">
        <f t="shared" ref="E26:M26" si="4">E24+E25</f>
        <v>27.433359773970327</v>
      </c>
      <c r="F26" s="149">
        <f t="shared" si="4"/>
        <v>26.983359773970328</v>
      </c>
      <c r="G26" s="149">
        <f t="shared" si="4"/>
        <v>26.533359773970329</v>
      </c>
      <c r="H26" s="149">
        <f t="shared" si="4"/>
        <v>26.083359773970329</v>
      </c>
      <c r="I26" s="149">
        <f t="shared" si="4"/>
        <v>25.63335977397033</v>
      </c>
      <c r="J26" s="149">
        <f t="shared" si="4"/>
        <v>25.138327969661258</v>
      </c>
      <c r="K26" s="149">
        <f t="shared" si="4"/>
        <v>24.888327969661258</v>
      </c>
      <c r="L26" s="149">
        <f t="shared" si="4"/>
        <v>24.638327969661258</v>
      </c>
      <c r="M26" s="149">
        <f t="shared" si="4"/>
        <v>24.388327969661258</v>
      </c>
    </row>
    <row r="27" spans="1:14">
      <c r="A27" s="145" t="s">
        <v>280</v>
      </c>
      <c r="B27" s="156" t="s">
        <v>282</v>
      </c>
      <c r="C27" s="145"/>
      <c r="D27" s="148">
        <f>+'Proy de Suscriptores APS1'!D37</f>
        <v>115471.33</v>
      </c>
      <c r="E27" s="148">
        <f>+'Proy de Suscriptores APS1'!E37</f>
        <v>126449.9025</v>
      </c>
      <c r="F27" s="148">
        <f>+'Proy de Suscriptores APS1'!F37</f>
        <v>133710.55751249997</v>
      </c>
      <c r="G27" s="148">
        <f>+'Proy de Suscriptores APS1'!G37</f>
        <v>137280.65045681249</v>
      </c>
      <c r="H27" s="148">
        <f>+'Proy de Suscriptores APS1'!H37</f>
        <v>140980.37757662532</v>
      </c>
      <c r="I27" s="148">
        <f>+'Proy de Suscriptores APS1'!I37</f>
        <v>144816.11665602835</v>
      </c>
      <c r="J27" s="148">
        <f>+'Proy de Suscriptores APS1'!J37</f>
        <v>148794.61906633104</v>
      </c>
      <c r="K27" s="148">
        <f>+'Proy de Suscriptores APS1'!K37</f>
        <v>152923.03322985664</v>
      </c>
      <c r="L27" s="148">
        <f>+'Proy de Suscriptores APS1'!L37</f>
        <v>157208.92959249567</v>
      </c>
      <c r="M27" s="148">
        <f>+'Proy de Suscriptores APS1'!M37</f>
        <v>161660.32720276021</v>
      </c>
    </row>
    <row r="28" spans="1:14">
      <c r="A28" s="146" t="s">
        <v>164</v>
      </c>
      <c r="B28" s="146" t="s">
        <v>165</v>
      </c>
      <c r="C28" s="146"/>
      <c r="D28" s="152">
        <f>(D26-6)*D27*12</f>
        <v>32879387.211656652</v>
      </c>
      <c r="E28" s="152">
        <f t="shared" ref="E28:M28" si="5">(E26-6)*E27*12</f>
        <v>32522955.043991636</v>
      </c>
      <c r="F28" s="152">
        <f t="shared" si="5"/>
        <v>33668360.806355253</v>
      </c>
      <c r="G28" s="152">
        <f t="shared" si="5"/>
        <v>33825995.830012739</v>
      </c>
      <c r="H28" s="152">
        <f t="shared" si="5"/>
        <v>33976315.72729855</v>
      </c>
      <c r="I28" s="152">
        <f t="shared" si="5"/>
        <v>34118723.032524735</v>
      </c>
      <c r="J28" s="152">
        <f t="shared" si="5"/>
        <v>34172162.637747072</v>
      </c>
      <c r="K28" s="152">
        <f t="shared" si="5"/>
        <v>34661524.869131267</v>
      </c>
      <c r="L28" s="152">
        <f t="shared" si="5"/>
        <v>35161339.074051835</v>
      </c>
      <c r="M28" s="152">
        <f t="shared" si="5"/>
        <v>35671957.395445272</v>
      </c>
    </row>
  </sheetData>
  <mergeCells count="2">
    <mergeCell ref="A2:C2"/>
    <mergeCell ref="A1:H1"/>
  </mergeCells>
  <pageMargins left="0.7" right="0.7" top="0.75" bottom="0.75" header="0.3" footer="0.3"/>
  <pageSetup orientation="portrait" horizontalDpi="4294967293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1:N28"/>
  <sheetViews>
    <sheetView workbookViewId="0">
      <selection sqref="A1:H1"/>
    </sheetView>
  </sheetViews>
  <sheetFormatPr baseColWidth="10" defaultRowHeight="15"/>
  <cols>
    <col min="1" max="1" width="16.42578125" bestFit="1" customWidth="1"/>
    <col min="2" max="2" width="74.7109375" bestFit="1" customWidth="1"/>
    <col min="3" max="3" width="15.140625" bestFit="1" customWidth="1"/>
    <col min="4" max="4" width="14.140625" bestFit="1" customWidth="1"/>
  </cols>
  <sheetData>
    <row r="1" spans="1:8" ht="21.75" thickBot="1">
      <c r="A1" s="350" t="s">
        <v>284</v>
      </c>
      <c r="B1" s="350"/>
      <c r="C1" s="350"/>
      <c r="D1" s="350"/>
      <c r="E1" s="350"/>
      <c r="F1" s="350"/>
      <c r="G1" s="350"/>
      <c r="H1" s="350"/>
    </row>
    <row r="2" spans="1:8" ht="16.5" thickBot="1">
      <c r="A2" s="360" t="s">
        <v>246</v>
      </c>
      <c r="B2" s="361"/>
      <c r="C2" s="362"/>
    </row>
    <row r="5" spans="1:8">
      <c r="A5" s="145"/>
      <c r="B5" s="145"/>
      <c r="C5" s="154">
        <v>2018</v>
      </c>
    </row>
    <row r="6" spans="1:8">
      <c r="A6" s="145" t="s">
        <v>247</v>
      </c>
      <c r="B6" s="145" t="s">
        <v>248</v>
      </c>
      <c r="C6" s="147">
        <v>8262094</v>
      </c>
    </row>
    <row r="7" spans="1:8">
      <c r="A7" s="145" t="s">
        <v>249</v>
      </c>
      <c r="B7" s="145" t="s">
        <v>250</v>
      </c>
      <c r="C7" s="148">
        <v>37500</v>
      </c>
    </row>
    <row r="8" spans="1:8">
      <c r="A8" s="145" t="s">
        <v>251</v>
      </c>
      <c r="B8" s="145" t="s">
        <v>252</v>
      </c>
      <c r="C8" s="149">
        <f>C6/(C7*12)</f>
        <v>18.360208888888888</v>
      </c>
    </row>
    <row r="9" spans="1:8">
      <c r="A9" s="145" t="s">
        <v>253</v>
      </c>
      <c r="B9" s="145" t="s">
        <v>254</v>
      </c>
      <c r="C9" s="148">
        <v>2033714</v>
      </c>
    </row>
    <row r="10" spans="1:8">
      <c r="A10" s="145" t="s">
        <v>255</v>
      </c>
      <c r="B10" s="145" t="s">
        <v>256</v>
      </c>
      <c r="C10" s="148">
        <v>3250</v>
      </c>
    </row>
    <row r="11" spans="1:8">
      <c r="A11" s="145" t="s">
        <v>257</v>
      </c>
      <c r="B11" s="145" t="s">
        <v>258</v>
      </c>
      <c r="C11" s="149">
        <f>C9/(C10*12)</f>
        <v>52.146512820512818</v>
      </c>
    </row>
    <row r="12" spans="1:8">
      <c r="A12" s="145" t="s">
        <v>259</v>
      </c>
      <c r="B12" s="145" t="s">
        <v>260</v>
      </c>
      <c r="C12" s="149">
        <f>C7/(C7+C10)</f>
        <v>0.92024539877300615</v>
      </c>
    </row>
    <row r="13" spans="1:8">
      <c r="A13" s="146" t="s">
        <v>261</v>
      </c>
      <c r="B13" s="146" t="s">
        <v>262</v>
      </c>
      <c r="C13" s="150">
        <f>(C8*C12)+(C11*(1-C12))</f>
        <v>21.054822085889569</v>
      </c>
    </row>
    <row r="14" spans="1:8">
      <c r="A14" s="145"/>
      <c r="B14" s="145"/>
      <c r="C14" s="145"/>
    </row>
    <row r="15" spans="1:8">
      <c r="A15" s="145" t="s">
        <v>67</v>
      </c>
      <c r="B15" s="145" t="s">
        <v>263</v>
      </c>
      <c r="C15" s="148">
        <f>C16+C17-C18</f>
        <v>22390046</v>
      </c>
    </row>
    <row r="16" spans="1:8">
      <c r="A16" s="145" t="s">
        <v>57</v>
      </c>
      <c r="B16" s="145" t="s">
        <v>264</v>
      </c>
      <c r="C16" s="148">
        <v>22390046</v>
      </c>
    </row>
    <row r="17" spans="1:14">
      <c r="A17" s="145" t="s">
        <v>79</v>
      </c>
      <c r="B17" s="145" t="s">
        <v>265</v>
      </c>
      <c r="C17" s="145">
        <v>0</v>
      </c>
    </row>
    <row r="18" spans="1:14">
      <c r="A18" s="145" t="s">
        <v>266</v>
      </c>
      <c r="B18" s="145" t="s">
        <v>267</v>
      </c>
      <c r="C18" s="145">
        <v>0</v>
      </c>
    </row>
    <row r="19" spans="1:14">
      <c r="A19" s="145" t="s">
        <v>268</v>
      </c>
      <c r="B19" s="145" t="s">
        <v>269</v>
      </c>
      <c r="C19" s="147">
        <f>C6+C9</f>
        <v>10295808</v>
      </c>
    </row>
    <row r="20" spans="1:14">
      <c r="A20" s="145" t="s">
        <v>270</v>
      </c>
      <c r="B20" s="145" t="s">
        <v>271</v>
      </c>
      <c r="C20" s="147">
        <f>C7+C10</f>
        <v>40750</v>
      </c>
    </row>
    <row r="21" spans="1:14">
      <c r="A21" s="145" t="s">
        <v>272</v>
      </c>
      <c r="B21" s="145" t="s">
        <v>273</v>
      </c>
      <c r="C21" s="149">
        <f>(C15-C19)/(C20*12)</f>
        <v>24.732593047034765</v>
      </c>
    </row>
    <row r="22" spans="1:14" ht="15.75">
      <c r="C22" s="296">
        <v>43435</v>
      </c>
      <c r="D22" s="296">
        <v>43983</v>
      </c>
      <c r="E22" s="297">
        <v>44348</v>
      </c>
      <c r="F22" s="296">
        <v>44713</v>
      </c>
      <c r="G22" s="296">
        <v>45078</v>
      </c>
      <c r="H22" s="296">
        <v>45444</v>
      </c>
      <c r="I22" s="296">
        <v>45809</v>
      </c>
      <c r="J22" s="297">
        <v>46174</v>
      </c>
      <c r="K22" s="296">
        <v>46539</v>
      </c>
      <c r="L22" s="296">
        <v>46905</v>
      </c>
      <c r="M22" s="296">
        <v>47270</v>
      </c>
    </row>
    <row r="23" spans="1:14">
      <c r="A23" s="145"/>
      <c r="B23" s="145"/>
      <c r="C23" s="145">
        <v>0</v>
      </c>
      <c r="D23" s="146">
        <v>1</v>
      </c>
      <c r="E23" s="146">
        <v>2</v>
      </c>
      <c r="F23" s="146">
        <v>3</v>
      </c>
      <c r="G23" s="146">
        <v>4</v>
      </c>
      <c r="H23" s="146">
        <v>5</v>
      </c>
      <c r="I23" s="146">
        <v>6</v>
      </c>
      <c r="J23" s="146">
        <v>7</v>
      </c>
      <c r="K23" s="146">
        <v>8</v>
      </c>
      <c r="L23" s="146">
        <v>9</v>
      </c>
      <c r="M23" s="146">
        <v>10</v>
      </c>
    </row>
    <row r="24" spans="1:14">
      <c r="A24" s="145" t="s">
        <v>274</v>
      </c>
      <c r="B24" s="145" t="s">
        <v>275</v>
      </c>
      <c r="C24" s="149">
        <f>+C13</f>
        <v>21.054822085889569</v>
      </c>
      <c r="D24" s="149">
        <f>C24-0.002</f>
        <v>21.05282208588957</v>
      </c>
      <c r="E24" s="149">
        <f t="shared" ref="E24:M24" si="0">D24-0.002</f>
        <v>21.050822085889571</v>
      </c>
      <c r="F24" s="149">
        <f t="shared" si="0"/>
        <v>21.048822085889572</v>
      </c>
      <c r="G24" s="149">
        <f t="shared" si="0"/>
        <v>21.046822085889573</v>
      </c>
      <c r="H24" s="149">
        <f t="shared" si="0"/>
        <v>21.044822085889574</v>
      </c>
      <c r="I24" s="149">
        <f t="shared" si="0"/>
        <v>21.042822085889576</v>
      </c>
      <c r="J24" s="149">
        <f t="shared" si="0"/>
        <v>21.040822085889577</v>
      </c>
      <c r="K24" s="149">
        <f t="shared" si="0"/>
        <v>21.038822085889578</v>
      </c>
      <c r="L24" s="149">
        <f t="shared" si="0"/>
        <v>21.036822085889579</v>
      </c>
      <c r="M24" s="149">
        <f t="shared" si="0"/>
        <v>21.03482208588958</v>
      </c>
      <c r="N24" s="65"/>
    </row>
    <row r="25" spans="1:14">
      <c r="A25" s="145" t="s">
        <v>276</v>
      </c>
      <c r="B25" s="145" t="s">
        <v>277</v>
      </c>
      <c r="C25" s="149">
        <f>+C21</f>
        <v>24.732593047034765</v>
      </c>
      <c r="D25" s="149">
        <f>AVERAGE(C25,E25)</f>
        <v>20.049444785276073</v>
      </c>
      <c r="E25" s="153">
        <f>C25-((C25-6)*0.5)</f>
        <v>15.366296523517383</v>
      </c>
      <c r="F25" s="149">
        <f t="shared" ref="F25:I25" si="1">E25-0.45</f>
        <v>14.916296523517383</v>
      </c>
      <c r="G25" s="149">
        <f t="shared" si="1"/>
        <v>14.466296523517384</v>
      </c>
      <c r="H25" s="149">
        <f t="shared" si="1"/>
        <v>14.016296523517385</v>
      </c>
      <c r="I25" s="149">
        <f t="shared" si="1"/>
        <v>13.566296523517385</v>
      </c>
      <c r="J25" s="153">
        <f>C25-((C25-6)*0.75)</f>
        <v>10.683148261758692</v>
      </c>
      <c r="K25" s="151">
        <f t="shared" ref="K25:L25" si="2">J25-0.35</f>
        <v>10.333148261758692</v>
      </c>
      <c r="L25" s="151">
        <f t="shared" si="2"/>
        <v>9.9831482617586929</v>
      </c>
      <c r="M25" s="151">
        <f>C25-((C25-6)*0.75)</f>
        <v>10.683148261758692</v>
      </c>
    </row>
    <row r="26" spans="1:14">
      <c r="A26" s="145" t="s">
        <v>278</v>
      </c>
      <c r="B26" s="145" t="s">
        <v>279</v>
      </c>
      <c r="C26" s="145"/>
      <c r="D26" s="149">
        <f>D24+D25</f>
        <v>41.102266871165639</v>
      </c>
      <c r="E26" s="149">
        <f t="shared" ref="E26:M26" si="3">E24+E25</f>
        <v>36.417118609406955</v>
      </c>
      <c r="F26" s="149">
        <f t="shared" si="3"/>
        <v>35.965118609406957</v>
      </c>
      <c r="G26" s="149">
        <f t="shared" si="3"/>
        <v>35.513118609406959</v>
      </c>
      <c r="H26" s="149">
        <f t="shared" si="3"/>
        <v>35.061118609406961</v>
      </c>
      <c r="I26" s="149">
        <f t="shared" si="3"/>
        <v>34.609118609406963</v>
      </c>
      <c r="J26" s="149">
        <f t="shared" si="3"/>
        <v>31.723970347648269</v>
      </c>
      <c r="K26" s="149">
        <f t="shared" si="3"/>
        <v>31.371970347648272</v>
      </c>
      <c r="L26" s="149">
        <f t="shared" si="3"/>
        <v>31.019970347648272</v>
      </c>
      <c r="M26" s="149">
        <f t="shared" si="3"/>
        <v>31.717970347648272</v>
      </c>
    </row>
    <row r="27" spans="1:14">
      <c r="A27" s="145" t="s">
        <v>280</v>
      </c>
      <c r="B27" s="156" t="s">
        <v>282</v>
      </c>
      <c r="C27" s="145"/>
      <c r="D27" s="148">
        <f>+'Proy de Suscriptores APS1'!D37</f>
        <v>115471.33</v>
      </c>
      <c r="E27" s="148">
        <f>+'Proy de Suscriptores APS1'!E37</f>
        <v>126449.9025</v>
      </c>
      <c r="F27" s="148">
        <f>+'Proy de Suscriptores APS1'!F37</f>
        <v>133710.55751249997</v>
      </c>
      <c r="G27" s="148">
        <f>+'Proy de Suscriptores APS1'!G37</f>
        <v>137280.65045681249</v>
      </c>
      <c r="H27" s="148">
        <f>+'Proy de Suscriptores APS1'!H37</f>
        <v>140980.37757662532</v>
      </c>
      <c r="I27" s="148">
        <f>+'Proy de Suscriptores APS1'!I37</f>
        <v>144816.11665602835</v>
      </c>
      <c r="J27" s="148">
        <f>+'Proy de Suscriptores APS1'!J37</f>
        <v>148794.61906633104</v>
      </c>
      <c r="K27" s="148">
        <f>+'Proy de Suscriptores APS1'!K37</f>
        <v>152923.03322985664</v>
      </c>
      <c r="L27" s="148">
        <f>+'Proy de Suscriptores APS1'!L37</f>
        <v>157208.92959249567</v>
      </c>
      <c r="M27" s="148">
        <f>+'Proy de Suscriptores APS1'!M37</f>
        <v>161660.32720276021</v>
      </c>
    </row>
    <row r="28" spans="1:14">
      <c r="A28" s="146" t="s">
        <v>164</v>
      </c>
      <c r="B28" s="146" t="s">
        <v>165</v>
      </c>
      <c r="C28" s="146"/>
      <c r="D28" s="152">
        <f>(D26-6)*D27*12</f>
        <v>48639665.29954122</v>
      </c>
      <c r="E28" s="152">
        <f t="shared" ref="E28:M28" si="4">(E26-6)*E27*12</f>
        <v>46154900.189885341</v>
      </c>
      <c r="F28" s="152">
        <f t="shared" si="4"/>
        <v>48079832.582303904</v>
      </c>
      <c r="G28" s="152">
        <f t="shared" si="4"/>
        <v>48618961.436501339</v>
      </c>
      <c r="H28" s="152">
        <f t="shared" si="4"/>
        <v>49164569.692239434</v>
      </c>
      <c r="I28" s="152">
        <f t="shared" si="4"/>
        <v>49716737.495592363</v>
      </c>
      <c r="J28" s="152">
        <f t="shared" si="4"/>
        <v>45931060.425023034</v>
      </c>
      <c r="K28" s="152">
        <f t="shared" si="4"/>
        <v>46559503.974964246</v>
      </c>
      <c r="L28" s="152">
        <f t="shared" si="4"/>
        <v>47200353.081477202</v>
      </c>
      <c r="M28" s="152">
        <f t="shared" si="4"/>
        <v>49890906.016700447</v>
      </c>
    </row>
  </sheetData>
  <mergeCells count="2">
    <mergeCell ref="A1:H1"/>
    <mergeCell ref="A2:C2"/>
  </mergeCells>
  <pageMargins left="0.7" right="0.7" top="0.75" bottom="0.75" header="0.3" footer="0.3"/>
  <pageSetup orientation="portrait" horizontalDpi="4294967293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B0824381345A2409ABA6724E1BF523A" ma:contentTypeVersion="10" ma:contentTypeDescription="Crear nuevo documento." ma:contentTypeScope="" ma:versionID="7990e40d0f9e921468cd110934b05636">
  <xsd:schema xmlns:xsd="http://www.w3.org/2001/XMLSchema" xmlns:xs="http://www.w3.org/2001/XMLSchema" xmlns:p="http://schemas.microsoft.com/office/2006/metadata/properties" xmlns:ns2="3909bcb4-bb11-4360-9f5e-6f4bb2fb649d" xmlns:ns3="628a3854-f8c0-4f7a-8e14-d47c4c974d19" targetNamespace="http://schemas.microsoft.com/office/2006/metadata/properties" ma:root="true" ma:fieldsID="c59b48407bdc400367d6e63e5abb6100" ns2:_="" ns3:_="">
    <xsd:import namespace="3909bcb4-bb11-4360-9f5e-6f4bb2fb649d"/>
    <xsd:import namespace="628a3854-f8c0-4f7a-8e14-d47c4c974d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09bcb4-bb11-4360-9f5e-6f4bb2fb64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a3854-f8c0-4f7a-8e14-d47c4c974d1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0367E8-D344-4B95-8529-9B4434281C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5B152A-8C8E-4CCC-8B18-23093F951A2F}"/>
</file>

<file path=customXml/itemProps3.xml><?xml version="1.0" encoding="utf-8"?>
<ds:datastoreItem xmlns:ds="http://schemas.openxmlformats.org/officeDocument/2006/customXml" ds:itemID="{8FC4D167-C361-457E-9F62-C9C72F15EF3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EJEMPLO</vt:lpstr>
      <vt:lpstr>Proy de Suscriptores APS1</vt:lpstr>
      <vt:lpstr>Proy de Suscriptores APS2</vt:lpstr>
      <vt:lpstr>Proy de Suscriptores APS3</vt:lpstr>
      <vt:lpstr>CMA APS1</vt:lpstr>
      <vt:lpstr>CMA APS2</vt:lpstr>
      <vt:lpstr>CMA UNIFICADO</vt:lpstr>
      <vt:lpstr>CCP APS 1</vt:lpstr>
      <vt:lpstr>CCP APS 2</vt:lpstr>
      <vt:lpstr>CCP APS 3</vt:lpstr>
      <vt:lpstr>CMO APS 1</vt:lpstr>
      <vt:lpstr>CMO APS 2</vt:lpstr>
      <vt:lpstr>CMO UNIFICADO</vt:lpstr>
      <vt:lpstr>CMI APS1</vt:lpstr>
      <vt:lpstr>CMI APS2</vt:lpstr>
      <vt:lpstr>CMI APS3</vt:lpstr>
      <vt:lpstr>CMI ACP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Patricia Sanchez Sanchez</dc:creator>
  <cp:lastModifiedBy>Guillermo Ibarra Prado</cp:lastModifiedBy>
  <dcterms:created xsi:type="dcterms:W3CDTF">2014-03-12T13:49:08Z</dcterms:created>
  <dcterms:modified xsi:type="dcterms:W3CDTF">2021-02-04T22:42:30Z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0x0101006B0824381345A2409ABA6724E1BF523A</vt:lpwstr>
  </property>
</Properties>
</file>