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CRA\2021\Enero\PROYECTOS\PROVISION DE INVERSIONES\Nuevo Modelo Excel 18-06-2020\Modelo final para publicar\"/>
    </mc:Choice>
  </mc:AlternateContent>
  <xr:revisionPtr revIDLastSave="0" documentId="8_{02F5A954-49AC-41D4-9AB8-6EDE999B769B}" xr6:coauthVersionLast="46" xr6:coauthVersionMax="46" xr10:uidLastSave="{00000000-0000-0000-0000-000000000000}"/>
  <workbookProtection workbookAlgorithmName="SHA-512" workbookHashValue="l0DiNUyX1MSG9Us8MJWDlfg+B7X17F8L6wV/gS66r5oNAHHBasrmmhb4WWOhn0wqzW7jilw7ucCXIANaVCTLEA==" workbookSaltValue="J0YKYsSrnyurilKajP3CBw==" workbookSpinCount="100000" lockStructure="1"/>
  <bookViews>
    <workbookView xWindow="-48" yWindow="-48" windowWidth="23136" windowHeight="12456" tabRatio="768" xr2:uid="{00000000-000D-0000-FFFF-FFFF00000000}"/>
  </bookViews>
  <sheets>
    <sheet name="Nota Aclaratoria" sheetId="14" r:id="rId1"/>
    <sheet name="Tablero de Control" sheetId="1" r:id="rId2"/>
    <sheet name="CMI POIR planeado" sheetId="2" r:id="rId3"/>
    <sheet name="CMI POIR actualizado" sheetId="9" r:id="rId4"/>
    <sheet name="CMI POIR ejecutado" sheetId="10" r:id="rId5"/>
    <sheet name="PI 5" sheetId="12" r:id="rId6"/>
    <sheet name="Índices de Actualización" sheetId="13" r:id="rId7"/>
    <sheet name="Control VP" sheetId="11" state="hidden" r:id="rId8"/>
  </sheets>
  <externalReferences>
    <externalReference r:id="rId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3" l="1"/>
  <c r="G17" i="13"/>
  <c r="F17" i="13"/>
  <c r="E17" i="13"/>
  <c r="D17" i="13"/>
  <c r="C17" i="13"/>
  <c r="B17" i="13"/>
  <c r="H16" i="13"/>
  <c r="G16" i="13"/>
  <c r="F16" i="13"/>
  <c r="E16" i="13"/>
  <c r="D16" i="13"/>
  <c r="C16" i="13"/>
  <c r="B16" i="13"/>
  <c r="H15" i="13"/>
  <c r="G15" i="13"/>
  <c r="F15" i="13"/>
  <c r="E15" i="13"/>
  <c r="D15" i="13"/>
  <c r="C15" i="13"/>
  <c r="B15" i="13"/>
  <c r="H14" i="13"/>
  <c r="G14" i="13"/>
  <c r="F14" i="13"/>
  <c r="E14" i="13"/>
  <c r="D14" i="13"/>
  <c r="C14" i="13"/>
  <c r="B14" i="13"/>
  <c r="H13" i="13"/>
  <c r="G13" i="13"/>
  <c r="F13" i="13"/>
  <c r="E13" i="13"/>
  <c r="D13" i="13"/>
  <c r="C13" i="13"/>
  <c r="B13" i="13"/>
  <c r="H12" i="13"/>
  <c r="G12" i="13"/>
  <c r="F12" i="13"/>
  <c r="E12" i="13"/>
  <c r="D12" i="13"/>
  <c r="C12" i="13"/>
  <c r="B12" i="13"/>
  <c r="H11" i="13"/>
  <c r="G11" i="13"/>
  <c r="F11" i="13"/>
  <c r="E11" i="13"/>
  <c r="D11" i="13"/>
  <c r="C11" i="13"/>
  <c r="B11" i="13"/>
  <c r="H10" i="13"/>
  <c r="G10" i="13"/>
  <c r="F10" i="13"/>
  <c r="E10" i="13"/>
  <c r="D10" i="13"/>
  <c r="C10" i="13"/>
  <c r="B10" i="13"/>
  <c r="H9" i="13"/>
  <c r="G9" i="13"/>
  <c r="F9" i="13"/>
  <c r="E9" i="13"/>
  <c r="D9" i="13"/>
  <c r="C9" i="13"/>
  <c r="B9" i="13"/>
  <c r="H8" i="13"/>
  <c r="G8" i="13"/>
  <c r="F8" i="13"/>
  <c r="E8" i="13"/>
  <c r="D8" i="13"/>
  <c r="C8" i="13"/>
  <c r="B8" i="13"/>
  <c r="H7" i="13"/>
  <c r="G7" i="13"/>
  <c r="F7" i="13"/>
  <c r="E7" i="13"/>
  <c r="D7" i="13"/>
  <c r="C7" i="13"/>
  <c r="B7" i="13"/>
  <c r="H6" i="13"/>
  <c r="G6" i="13"/>
  <c r="F6" i="13"/>
  <c r="E6" i="13"/>
  <c r="D6" i="13"/>
  <c r="C6" i="13"/>
  <c r="B6" i="13"/>
  <c r="F19" i="9" l="1"/>
  <c r="J41" i="9"/>
  <c r="J19" i="9"/>
  <c r="J52" i="9"/>
  <c r="J30" i="9"/>
  <c r="K41" i="9"/>
  <c r="K19" i="9"/>
  <c r="K52" i="9"/>
  <c r="U23" i="1"/>
  <c r="G19" i="9"/>
  <c r="K30" i="9"/>
  <c r="L41" i="9"/>
  <c r="E19" i="9"/>
  <c r="H19" i="9"/>
  <c r="L19" i="9"/>
  <c r="L52" i="9"/>
  <c r="L30" i="9"/>
  <c r="M41" i="9"/>
  <c r="M19" i="9"/>
  <c r="M52" i="9"/>
  <c r="M30" i="9"/>
  <c r="N41" i="9"/>
  <c r="N19" i="9"/>
  <c r="N52" i="9"/>
  <c r="N30" i="9"/>
  <c r="O41" i="9"/>
  <c r="O19" i="9"/>
  <c r="O52" i="9"/>
  <c r="O30" i="9"/>
  <c r="P41" i="9"/>
  <c r="P19" i="9"/>
  <c r="P52" i="9"/>
  <c r="P30" i="9"/>
  <c r="Q41" i="9"/>
  <c r="Q19" i="9"/>
  <c r="Q52" i="9"/>
  <c r="Q30" i="9"/>
  <c r="R41" i="9"/>
  <c r="R19" i="9"/>
  <c r="R52" i="9"/>
  <c r="R30" i="9"/>
  <c r="S41" i="9"/>
  <c r="S19" i="9"/>
  <c r="S52" i="9"/>
  <c r="I74" i="9"/>
  <c r="O27" i="12"/>
  <c r="G41" i="10"/>
  <c r="K41" i="10"/>
  <c r="G19" i="10"/>
  <c r="K19" i="10"/>
  <c r="K52" i="10"/>
  <c r="G30" i="10"/>
  <c r="K30" i="10"/>
  <c r="L41" i="10"/>
  <c r="L19" i="10"/>
  <c r="L52" i="10"/>
  <c r="H19" i="10"/>
  <c r="H30" i="10"/>
  <c r="L30" i="10"/>
  <c r="M41" i="10"/>
  <c r="E19" i="10"/>
  <c r="I19" i="10"/>
  <c r="M19" i="10"/>
  <c r="M52" i="10"/>
  <c r="M30" i="10"/>
  <c r="N41" i="10"/>
  <c r="N19" i="10"/>
  <c r="N52" i="10"/>
  <c r="N30" i="10"/>
  <c r="O41" i="10"/>
  <c r="O19" i="10"/>
  <c r="O52" i="10"/>
  <c r="O30" i="10"/>
  <c r="P41" i="10"/>
  <c r="P19" i="10"/>
  <c r="P52" i="10"/>
  <c r="P30" i="10"/>
  <c r="Q41" i="10"/>
  <c r="Q19" i="10"/>
  <c r="Q52" i="10"/>
  <c r="Q30" i="10"/>
  <c r="R41" i="10"/>
  <c r="R19" i="10"/>
  <c r="R52" i="10"/>
  <c r="R30" i="10"/>
  <c r="S41" i="10"/>
  <c r="S19" i="10"/>
  <c r="S52" i="10"/>
  <c r="S30" i="10"/>
  <c r="T41" i="10"/>
  <c r="T19" i="10"/>
  <c r="T52" i="10"/>
  <c r="J74" i="10"/>
  <c r="Q27" i="12"/>
  <c r="J63" i="10"/>
  <c r="K63" i="10"/>
  <c r="L63" i="10"/>
  <c r="M63" i="10"/>
  <c r="N63" i="10"/>
  <c r="O63" i="10"/>
  <c r="P63" i="10"/>
  <c r="Q63" i="10"/>
  <c r="R63" i="10"/>
  <c r="S63" i="10"/>
  <c r="K74" i="10"/>
  <c r="R27" i="12"/>
  <c r="S27" i="12"/>
  <c r="H49" i="12"/>
  <c r="F20" i="9"/>
  <c r="J42" i="9"/>
  <c r="J20" i="9"/>
  <c r="J53" i="9"/>
  <c r="K42" i="9"/>
  <c r="K20" i="9"/>
  <c r="K53" i="9"/>
  <c r="L42" i="9"/>
  <c r="L20" i="9"/>
  <c r="L53" i="9"/>
  <c r="M42" i="9"/>
  <c r="M20" i="9"/>
  <c r="M53" i="9"/>
  <c r="N42" i="9"/>
  <c r="N20" i="9"/>
  <c r="N53" i="9"/>
  <c r="O42" i="9"/>
  <c r="O20" i="9"/>
  <c r="O53" i="9"/>
  <c r="P42" i="9"/>
  <c r="P20" i="9"/>
  <c r="P53" i="9"/>
  <c r="P31" i="9"/>
  <c r="Q42" i="9"/>
  <c r="Q20" i="9"/>
  <c r="Q53" i="9"/>
  <c r="U24" i="1"/>
  <c r="G20" i="9"/>
  <c r="Q31" i="9"/>
  <c r="R42" i="9"/>
  <c r="E20" i="9"/>
  <c r="H20" i="9"/>
  <c r="R20" i="9"/>
  <c r="R53" i="9"/>
  <c r="R31" i="9"/>
  <c r="S42" i="9"/>
  <c r="S20" i="9"/>
  <c r="S53" i="9"/>
  <c r="I75" i="9"/>
  <c r="O28" i="12"/>
  <c r="G42" i="10"/>
  <c r="K42" i="10"/>
  <c r="G20" i="10"/>
  <c r="K20" i="10"/>
  <c r="K53" i="10"/>
  <c r="L42" i="10"/>
  <c r="L20" i="10"/>
  <c r="L53" i="10"/>
  <c r="M42" i="10"/>
  <c r="M20" i="10"/>
  <c r="M53" i="10"/>
  <c r="N42" i="10"/>
  <c r="N20" i="10"/>
  <c r="N53" i="10"/>
  <c r="G31" i="10"/>
  <c r="N31" i="10"/>
  <c r="O42" i="10"/>
  <c r="O20" i="10"/>
  <c r="O53" i="10"/>
  <c r="V24" i="1"/>
  <c r="H20" i="10"/>
  <c r="H31" i="10"/>
  <c r="O31" i="10"/>
  <c r="P42" i="10"/>
  <c r="E20" i="10"/>
  <c r="I20" i="10"/>
  <c r="P20" i="10"/>
  <c r="P53" i="10"/>
  <c r="P31" i="10"/>
  <c r="Q42" i="10"/>
  <c r="Q20" i="10"/>
  <c r="Q53" i="10"/>
  <c r="Q31" i="10"/>
  <c r="R42" i="10"/>
  <c r="R20" i="10"/>
  <c r="R53" i="10"/>
  <c r="R31" i="10"/>
  <c r="S42" i="10"/>
  <c r="S20" i="10"/>
  <c r="S53" i="10"/>
  <c r="S31" i="10"/>
  <c r="T42" i="10"/>
  <c r="T20" i="10"/>
  <c r="T53" i="10"/>
  <c r="J75" i="10"/>
  <c r="Q28" i="12"/>
  <c r="J64" i="10"/>
  <c r="K64" i="10"/>
  <c r="L64" i="10"/>
  <c r="M64" i="10"/>
  <c r="N64" i="10"/>
  <c r="O64" i="10"/>
  <c r="P64" i="10"/>
  <c r="Q64" i="10"/>
  <c r="R64" i="10"/>
  <c r="S64" i="10"/>
  <c r="K75" i="10"/>
  <c r="R28" i="12"/>
  <c r="S28" i="12"/>
  <c r="H50" i="12"/>
  <c r="H51" i="12"/>
  <c r="T27" i="12"/>
  <c r="I49" i="12"/>
  <c r="T28" i="12"/>
  <c r="I50" i="12"/>
  <c r="I51" i="12"/>
  <c r="U27" i="12"/>
  <c r="J49" i="12"/>
  <c r="U28" i="12"/>
  <c r="J50" i="12"/>
  <c r="J51" i="12"/>
  <c r="V27" i="12"/>
  <c r="K49" i="12"/>
  <c r="V28" i="12"/>
  <c r="K50" i="12"/>
  <c r="K51" i="12"/>
  <c r="W27" i="12"/>
  <c r="L49" i="12"/>
  <c r="W28" i="12"/>
  <c r="L50" i="12"/>
  <c r="L51" i="12"/>
  <c r="C64" i="12"/>
  <c r="H22" i="12"/>
  <c r="F14" i="2"/>
  <c r="J36" i="2"/>
  <c r="J14" i="2"/>
  <c r="J47" i="2"/>
  <c r="J25" i="2"/>
  <c r="K36" i="2"/>
  <c r="K14" i="2"/>
  <c r="K47" i="2"/>
  <c r="G14" i="2"/>
  <c r="K25" i="2"/>
  <c r="L36" i="2"/>
  <c r="E14" i="2"/>
  <c r="H14" i="2"/>
  <c r="L14" i="2"/>
  <c r="L47" i="2"/>
  <c r="L25" i="2"/>
  <c r="M36" i="2"/>
  <c r="M14" i="2"/>
  <c r="M47" i="2"/>
  <c r="M25" i="2"/>
  <c r="N36" i="2"/>
  <c r="N14" i="2"/>
  <c r="N47" i="2"/>
  <c r="N25" i="2"/>
  <c r="O36" i="2"/>
  <c r="O14" i="2"/>
  <c r="O47" i="2"/>
  <c r="O25" i="2"/>
  <c r="P36" i="2"/>
  <c r="P14" i="2"/>
  <c r="P47" i="2"/>
  <c r="P25" i="2"/>
  <c r="Q36" i="2"/>
  <c r="Q14" i="2"/>
  <c r="Q47" i="2"/>
  <c r="Q25" i="2"/>
  <c r="R36" i="2"/>
  <c r="R14" i="2"/>
  <c r="R47" i="2"/>
  <c r="R25" i="2"/>
  <c r="S36" i="2"/>
  <c r="S14" i="2"/>
  <c r="S47" i="2"/>
  <c r="I69" i="2"/>
  <c r="M22" i="12"/>
  <c r="G36" i="10"/>
  <c r="K36" i="10"/>
  <c r="G14" i="10"/>
  <c r="K14" i="10"/>
  <c r="K47" i="10"/>
  <c r="L36" i="10"/>
  <c r="L14" i="10"/>
  <c r="L47" i="10"/>
  <c r="G25" i="10"/>
  <c r="L25" i="10"/>
  <c r="M36" i="10"/>
  <c r="M14" i="10"/>
  <c r="M47" i="10"/>
  <c r="V18" i="1"/>
  <c r="H14" i="10"/>
  <c r="H25" i="10"/>
  <c r="M25" i="10"/>
  <c r="N36" i="10"/>
  <c r="E14" i="10"/>
  <c r="I14" i="10"/>
  <c r="N14" i="10"/>
  <c r="N47" i="10"/>
  <c r="N25" i="10"/>
  <c r="O36" i="10"/>
  <c r="O14" i="10"/>
  <c r="O47" i="10"/>
  <c r="O25" i="10"/>
  <c r="P36" i="10"/>
  <c r="P14" i="10"/>
  <c r="P47" i="10"/>
  <c r="P25" i="10"/>
  <c r="Q36" i="10"/>
  <c r="Q14" i="10"/>
  <c r="Q47" i="10"/>
  <c r="Q25" i="10"/>
  <c r="R36" i="10"/>
  <c r="R14" i="10"/>
  <c r="R47" i="10"/>
  <c r="R25" i="10"/>
  <c r="S36" i="10"/>
  <c r="S14" i="10"/>
  <c r="S47" i="10"/>
  <c r="S25" i="10"/>
  <c r="T36" i="10"/>
  <c r="T14" i="10"/>
  <c r="T47" i="10"/>
  <c r="J69" i="10"/>
  <c r="Q22" i="12"/>
  <c r="J58" i="10"/>
  <c r="K58" i="10"/>
  <c r="L58" i="10"/>
  <c r="M58" i="10"/>
  <c r="N58" i="10"/>
  <c r="O58" i="10"/>
  <c r="P58" i="10"/>
  <c r="Q58" i="10"/>
  <c r="R58" i="10"/>
  <c r="S58" i="10"/>
  <c r="K69" i="10"/>
  <c r="R22" i="12"/>
  <c r="S22" i="12"/>
  <c r="H43" i="12"/>
  <c r="H23" i="12"/>
  <c r="F15" i="2"/>
  <c r="F15" i="9"/>
  <c r="J37" i="9"/>
  <c r="J15" i="9"/>
  <c r="J48" i="9"/>
  <c r="K37" i="9"/>
  <c r="K15" i="9"/>
  <c r="K48" i="9"/>
  <c r="L37" i="9"/>
  <c r="L15" i="9"/>
  <c r="L48" i="9"/>
  <c r="M37" i="9"/>
  <c r="M15" i="9"/>
  <c r="M48" i="9"/>
  <c r="M26" i="9"/>
  <c r="N37" i="9"/>
  <c r="N15" i="9"/>
  <c r="N48" i="9"/>
  <c r="G15" i="9"/>
  <c r="N26" i="9"/>
  <c r="O37" i="9"/>
  <c r="E15" i="9"/>
  <c r="H15" i="9"/>
  <c r="O15" i="9"/>
  <c r="O48" i="9"/>
  <c r="O26" i="9"/>
  <c r="P37" i="9"/>
  <c r="P15" i="9"/>
  <c r="P48" i="9"/>
  <c r="P26" i="9"/>
  <c r="Q37" i="9"/>
  <c r="Q15" i="9"/>
  <c r="Q48" i="9"/>
  <c r="Q26" i="9"/>
  <c r="R37" i="9"/>
  <c r="R15" i="9"/>
  <c r="R48" i="9"/>
  <c r="R26" i="9"/>
  <c r="S37" i="9"/>
  <c r="S15" i="9"/>
  <c r="S48" i="9"/>
  <c r="I70" i="9"/>
  <c r="O23" i="12"/>
  <c r="G37" i="10"/>
  <c r="K37" i="10"/>
  <c r="G15" i="10"/>
  <c r="K15" i="10"/>
  <c r="K48" i="10"/>
  <c r="L37" i="10"/>
  <c r="L15" i="10"/>
  <c r="L48" i="10"/>
  <c r="M37" i="10"/>
  <c r="M15" i="10"/>
  <c r="M48" i="10"/>
  <c r="N37" i="10"/>
  <c r="N15" i="10"/>
  <c r="N48" i="10"/>
  <c r="G26" i="10"/>
  <c r="N26" i="10"/>
  <c r="O37" i="10"/>
  <c r="O15" i="10"/>
  <c r="O48" i="10"/>
  <c r="V19" i="1"/>
  <c r="H15" i="10"/>
  <c r="H26" i="10"/>
  <c r="O26" i="10"/>
  <c r="P37" i="10"/>
  <c r="E15" i="10"/>
  <c r="I15" i="10"/>
  <c r="P15" i="10"/>
  <c r="P48" i="10"/>
  <c r="P26" i="10"/>
  <c r="Q37" i="10"/>
  <c r="Q15" i="10"/>
  <c r="Q48" i="10"/>
  <c r="Q26" i="10"/>
  <c r="R37" i="10"/>
  <c r="R15" i="10"/>
  <c r="R48" i="10"/>
  <c r="R26" i="10"/>
  <c r="S37" i="10"/>
  <c r="S15" i="10"/>
  <c r="S48" i="10"/>
  <c r="S26" i="10"/>
  <c r="T37" i="10"/>
  <c r="T15" i="10"/>
  <c r="T48" i="10"/>
  <c r="J70" i="10"/>
  <c r="Q23" i="12"/>
  <c r="J59" i="10"/>
  <c r="K59" i="10"/>
  <c r="L59" i="10"/>
  <c r="M59" i="10"/>
  <c r="N59" i="10"/>
  <c r="O59" i="10"/>
  <c r="P59" i="10"/>
  <c r="Q59" i="10"/>
  <c r="R59" i="10"/>
  <c r="S59" i="10"/>
  <c r="K70" i="10"/>
  <c r="R23" i="12"/>
  <c r="S23" i="12"/>
  <c r="H44" i="12"/>
  <c r="F16" i="9"/>
  <c r="J38" i="9"/>
  <c r="J16" i="9"/>
  <c r="J49" i="9"/>
  <c r="K38" i="9"/>
  <c r="K16" i="9"/>
  <c r="K49" i="9"/>
  <c r="L38" i="9"/>
  <c r="L16" i="9"/>
  <c r="L49" i="9"/>
  <c r="L27" i="9"/>
  <c r="M38" i="9"/>
  <c r="M16" i="9"/>
  <c r="M49" i="9"/>
  <c r="U20" i="1"/>
  <c r="G16" i="9"/>
  <c r="M27" i="9"/>
  <c r="N38" i="9"/>
  <c r="E16" i="9"/>
  <c r="H16" i="9"/>
  <c r="N16" i="9"/>
  <c r="N49" i="9"/>
  <c r="N27" i="9"/>
  <c r="O38" i="9"/>
  <c r="O16" i="9"/>
  <c r="O49" i="9"/>
  <c r="O27" i="9"/>
  <c r="P38" i="9"/>
  <c r="P16" i="9"/>
  <c r="P49" i="9"/>
  <c r="P27" i="9"/>
  <c r="Q38" i="9"/>
  <c r="Q16" i="9"/>
  <c r="Q49" i="9"/>
  <c r="Q27" i="9"/>
  <c r="R38" i="9"/>
  <c r="R16" i="9"/>
  <c r="R49" i="9"/>
  <c r="R27" i="9"/>
  <c r="S38" i="9"/>
  <c r="S16" i="9"/>
  <c r="S49" i="9"/>
  <c r="I71" i="9"/>
  <c r="O24" i="12"/>
  <c r="G38" i="10"/>
  <c r="K38" i="10"/>
  <c r="G16" i="10"/>
  <c r="K16" i="10"/>
  <c r="K49" i="10"/>
  <c r="L38" i="10"/>
  <c r="L16" i="10"/>
  <c r="L49" i="10"/>
  <c r="M38" i="10"/>
  <c r="M16" i="10"/>
  <c r="M49" i="10"/>
  <c r="N38" i="10"/>
  <c r="N16" i="10"/>
  <c r="N49" i="10"/>
  <c r="G27" i="10"/>
  <c r="N27" i="10"/>
  <c r="O38" i="10"/>
  <c r="O16" i="10"/>
  <c r="O49" i="10"/>
  <c r="V20" i="1"/>
  <c r="H16" i="10"/>
  <c r="H27" i="10"/>
  <c r="O27" i="10"/>
  <c r="P38" i="10"/>
  <c r="E16" i="10"/>
  <c r="I16" i="10"/>
  <c r="P16" i="10"/>
  <c r="P49" i="10"/>
  <c r="P27" i="10"/>
  <c r="Q38" i="10"/>
  <c r="Q16" i="10"/>
  <c r="Q49" i="10"/>
  <c r="Q27" i="10"/>
  <c r="R38" i="10"/>
  <c r="R16" i="10"/>
  <c r="R49" i="10"/>
  <c r="R27" i="10"/>
  <c r="S38" i="10"/>
  <c r="S16" i="10"/>
  <c r="S49" i="10"/>
  <c r="S27" i="10"/>
  <c r="T38" i="10"/>
  <c r="T16" i="10"/>
  <c r="T49" i="10"/>
  <c r="J71" i="10"/>
  <c r="Q24" i="12"/>
  <c r="J60" i="10"/>
  <c r="K60" i="10"/>
  <c r="L60" i="10"/>
  <c r="M60" i="10"/>
  <c r="N60" i="10"/>
  <c r="O60" i="10"/>
  <c r="P60" i="10"/>
  <c r="Q60" i="10"/>
  <c r="R60" i="10"/>
  <c r="S60" i="10"/>
  <c r="K71" i="10"/>
  <c r="R24" i="12"/>
  <c r="S24" i="12"/>
  <c r="H45" i="12"/>
  <c r="F17" i="9"/>
  <c r="J39" i="9"/>
  <c r="J17" i="9"/>
  <c r="J50" i="9"/>
  <c r="K39" i="9"/>
  <c r="K17" i="9"/>
  <c r="K50" i="9"/>
  <c r="K28" i="9"/>
  <c r="L39" i="9"/>
  <c r="L17" i="9"/>
  <c r="L50" i="9"/>
  <c r="U21" i="1"/>
  <c r="G17" i="9"/>
  <c r="L28" i="9"/>
  <c r="M39" i="9"/>
  <c r="E17" i="9"/>
  <c r="H17" i="9"/>
  <c r="M17" i="9"/>
  <c r="M50" i="9"/>
  <c r="M28" i="9"/>
  <c r="N39" i="9"/>
  <c r="N17" i="9"/>
  <c r="N50" i="9"/>
  <c r="N28" i="9"/>
  <c r="O39" i="9"/>
  <c r="O17" i="9"/>
  <c r="O50" i="9"/>
  <c r="O28" i="9"/>
  <c r="P39" i="9"/>
  <c r="P17" i="9"/>
  <c r="P50" i="9"/>
  <c r="P28" i="9"/>
  <c r="Q39" i="9"/>
  <c r="Q17" i="9"/>
  <c r="Q50" i="9"/>
  <c r="Q28" i="9"/>
  <c r="R39" i="9"/>
  <c r="R17" i="9"/>
  <c r="R50" i="9"/>
  <c r="R28" i="9"/>
  <c r="S39" i="9"/>
  <c r="S17" i="9"/>
  <c r="S50" i="9"/>
  <c r="I72" i="9"/>
  <c r="O25" i="12"/>
  <c r="G39" i="10"/>
  <c r="K39" i="10"/>
  <c r="G17" i="10"/>
  <c r="K17" i="10"/>
  <c r="K50" i="10"/>
  <c r="L39" i="10"/>
  <c r="L17" i="10"/>
  <c r="L50" i="10"/>
  <c r="G28" i="10"/>
  <c r="L28" i="10"/>
  <c r="M39" i="10"/>
  <c r="M17" i="10"/>
  <c r="M50" i="10"/>
  <c r="V21" i="1"/>
  <c r="H17" i="10"/>
  <c r="H28" i="10"/>
  <c r="M28" i="10"/>
  <c r="N39" i="10"/>
  <c r="E17" i="10"/>
  <c r="I17" i="10"/>
  <c r="N17" i="10"/>
  <c r="N50" i="10"/>
  <c r="N28" i="10"/>
  <c r="O39" i="10"/>
  <c r="O17" i="10"/>
  <c r="O50" i="10"/>
  <c r="O28" i="10"/>
  <c r="P39" i="10"/>
  <c r="P17" i="10"/>
  <c r="P50" i="10"/>
  <c r="P28" i="10"/>
  <c r="Q39" i="10"/>
  <c r="Q17" i="10"/>
  <c r="Q50" i="10"/>
  <c r="Q28" i="10"/>
  <c r="R39" i="10"/>
  <c r="R17" i="10"/>
  <c r="R50" i="10"/>
  <c r="R28" i="10"/>
  <c r="S39" i="10"/>
  <c r="S17" i="10"/>
  <c r="S50" i="10"/>
  <c r="S28" i="10"/>
  <c r="T39" i="10"/>
  <c r="T17" i="10"/>
  <c r="T50" i="10"/>
  <c r="J72" i="10"/>
  <c r="Q25" i="12"/>
  <c r="J61" i="10"/>
  <c r="K61" i="10"/>
  <c r="L61" i="10"/>
  <c r="M61" i="10"/>
  <c r="N61" i="10"/>
  <c r="O61" i="10"/>
  <c r="P61" i="10"/>
  <c r="Q61" i="10"/>
  <c r="R61" i="10"/>
  <c r="S61" i="10"/>
  <c r="K72" i="10"/>
  <c r="R25" i="12"/>
  <c r="S25" i="12"/>
  <c r="H46" i="12"/>
  <c r="F18" i="9"/>
  <c r="J40" i="9"/>
  <c r="J18" i="9"/>
  <c r="J51" i="9"/>
  <c r="J29" i="9"/>
  <c r="K40" i="9"/>
  <c r="K18" i="9"/>
  <c r="K51" i="9"/>
  <c r="U22" i="1"/>
  <c r="G18" i="9"/>
  <c r="K29" i="9"/>
  <c r="L40" i="9"/>
  <c r="E18" i="9"/>
  <c r="H18" i="9"/>
  <c r="L18" i="9"/>
  <c r="L51" i="9"/>
  <c r="L29" i="9"/>
  <c r="M40" i="9"/>
  <c r="M18" i="9"/>
  <c r="M51" i="9"/>
  <c r="M29" i="9"/>
  <c r="N40" i="9"/>
  <c r="N18" i="9"/>
  <c r="N51" i="9"/>
  <c r="N29" i="9"/>
  <c r="O40" i="9"/>
  <c r="O18" i="9"/>
  <c r="O51" i="9"/>
  <c r="O29" i="9"/>
  <c r="P40" i="9"/>
  <c r="P18" i="9"/>
  <c r="P51" i="9"/>
  <c r="P29" i="9"/>
  <c r="Q40" i="9"/>
  <c r="Q18" i="9"/>
  <c r="Q51" i="9"/>
  <c r="Q29" i="9"/>
  <c r="R40" i="9"/>
  <c r="R18" i="9"/>
  <c r="R51" i="9"/>
  <c r="R29" i="9"/>
  <c r="S40" i="9"/>
  <c r="S18" i="9"/>
  <c r="S51" i="9"/>
  <c r="I73" i="9"/>
  <c r="O26" i="12"/>
  <c r="G40" i="10"/>
  <c r="K40" i="10"/>
  <c r="G18" i="10"/>
  <c r="K18" i="10"/>
  <c r="K51" i="10"/>
  <c r="G29" i="10"/>
  <c r="K29" i="10"/>
  <c r="L40" i="10"/>
  <c r="L18" i="10"/>
  <c r="L51" i="10"/>
  <c r="H18" i="10"/>
  <c r="H29" i="10"/>
  <c r="L29" i="10"/>
  <c r="M40" i="10"/>
  <c r="E18" i="10"/>
  <c r="I18" i="10"/>
  <c r="M18" i="10"/>
  <c r="M51" i="10"/>
  <c r="M29" i="10"/>
  <c r="N40" i="10"/>
  <c r="N18" i="10"/>
  <c r="N51" i="10"/>
  <c r="N29" i="10"/>
  <c r="O40" i="10"/>
  <c r="O18" i="10"/>
  <c r="O51" i="10"/>
  <c r="O29" i="10"/>
  <c r="P40" i="10"/>
  <c r="P18" i="10"/>
  <c r="P51" i="10"/>
  <c r="P29" i="10"/>
  <c r="Q40" i="10"/>
  <c r="Q18" i="10"/>
  <c r="Q51" i="10"/>
  <c r="Q29" i="10"/>
  <c r="R40" i="10"/>
  <c r="R18" i="10"/>
  <c r="R51" i="10"/>
  <c r="R29" i="10"/>
  <c r="S40" i="10"/>
  <c r="S18" i="10"/>
  <c r="S51" i="10"/>
  <c r="S29" i="10"/>
  <c r="T40" i="10"/>
  <c r="T18" i="10"/>
  <c r="T51" i="10"/>
  <c r="J73" i="10"/>
  <c r="Q26" i="12"/>
  <c r="J62" i="10"/>
  <c r="K62" i="10"/>
  <c r="L62" i="10"/>
  <c r="M62" i="10"/>
  <c r="N62" i="10"/>
  <c r="O62" i="10"/>
  <c r="P62" i="10"/>
  <c r="Q62" i="10"/>
  <c r="R62" i="10"/>
  <c r="S62" i="10"/>
  <c r="K73" i="10"/>
  <c r="R26" i="12"/>
  <c r="S26" i="12"/>
  <c r="H47" i="12"/>
  <c r="H48" i="12"/>
  <c r="T22" i="12"/>
  <c r="I43" i="12"/>
  <c r="T23" i="12"/>
  <c r="I44" i="12"/>
  <c r="T24" i="12"/>
  <c r="I45" i="12"/>
  <c r="T25" i="12"/>
  <c r="I46" i="12"/>
  <c r="T26" i="12"/>
  <c r="I47" i="12"/>
  <c r="I48" i="12"/>
  <c r="J36" i="9"/>
  <c r="J14" i="9"/>
  <c r="J47" i="9"/>
  <c r="K36" i="9"/>
  <c r="K14" i="9"/>
  <c r="K47" i="9"/>
  <c r="K25" i="9"/>
  <c r="L36" i="9"/>
  <c r="L14" i="9"/>
  <c r="L47" i="9"/>
  <c r="G14" i="9"/>
  <c r="L25" i="9"/>
  <c r="M36" i="9"/>
  <c r="E14" i="9"/>
  <c r="H14" i="9"/>
  <c r="M14" i="9"/>
  <c r="M47" i="9"/>
  <c r="M25" i="9"/>
  <c r="N36" i="9"/>
  <c r="N14" i="9"/>
  <c r="N47" i="9"/>
  <c r="N25" i="9"/>
  <c r="O36" i="9"/>
  <c r="O14" i="9"/>
  <c r="O47" i="9"/>
  <c r="O25" i="9"/>
  <c r="P36" i="9"/>
  <c r="P14" i="9"/>
  <c r="P47" i="9"/>
  <c r="P25" i="9"/>
  <c r="Q36" i="9"/>
  <c r="Q14" i="9"/>
  <c r="Q47" i="9"/>
  <c r="Q25" i="9"/>
  <c r="R36" i="9"/>
  <c r="R14" i="9"/>
  <c r="R47" i="9"/>
  <c r="R25" i="9"/>
  <c r="S36" i="9"/>
  <c r="S14" i="9"/>
  <c r="S47" i="9"/>
  <c r="I69" i="9"/>
  <c r="O22" i="12"/>
  <c r="U22" i="12"/>
  <c r="J43" i="12"/>
  <c r="U23" i="12"/>
  <c r="J44" i="12"/>
  <c r="U24" i="12"/>
  <c r="J45" i="12"/>
  <c r="U25" i="12"/>
  <c r="J46" i="12"/>
  <c r="U26" i="12"/>
  <c r="J47" i="12"/>
  <c r="J48" i="12"/>
  <c r="V22" i="12"/>
  <c r="K43" i="12"/>
  <c r="V23" i="12"/>
  <c r="K44" i="12"/>
  <c r="V24" i="12"/>
  <c r="K45" i="12"/>
  <c r="V25" i="12"/>
  <c r="K46" i="12"/>
  <c r="V26" i="12"/>
  <c r="K47" i="12"/>
  <c r="K48" i="12"/>
  <c r="W22" i="12"/>
  <c r="L43" i="12"/>
  <c r="W23" i="12"/>
  <c r="L44" i="12"/>
  <c r="W24" i="12"/>
  <c r="L45" i="12"/>
  <c r="W25" i="12"/>
  <c r="L46" i="12"/>
  <c r="W26" i="12"/>
  <c r="L47" i="12"/>
  <c r="L48" i="12"/>
  <c r="C63" i="12"/>
  <c r="B26" i="12"/>
  <c r="B47" i="12"/>
  <c r="B27" i="12"/>
  <c r="B49" i="12"/>
  <c r="B28" i="12"/>
  <c r="B50" i="12"/>
  <c r="B22" i="12"/>
  <c r="B43" i="12"/>
  <c r="B63" i="12"/>
  <c r="B62" i="12"/>
  <c r="H13" i="10"/>
  <c r="B64" i="12"/>
  <c r="D64" i="12"/>
  <c r="D63" i="12"/>
  <c r="D65" i="12" s="1"/>
  <c r="F19" i="2"/>
  <c r="F19" i="10"/>
  <c r="F16" i="2"/>
  <c r="F16" i="10"/>
  <c r="F17" i="2"/>
  <c r="F17" i="10"/>
  <c r="F18" i="2"/>
  <c r="F18" i="10"/>
  <c r="R21" i="12"/>
  <c r="Q21" i="12"/>
  <c r="H24" i="10"/>
  <c r="H35" i="10"/>
  <c r="H46" i="10"/>
  <c r="H57" i="10"/>
  <c r="H68" i="10"/>
  <c r="P21" i="12"/>
  <c r="O21" i="12"/>
  <c r="G13" i="9"/>
  <c r="G24" i="9"/>
  <c r="G35" i="9"/>
  <c r="G46" i="9"/>
  <c r="G57" i="9"/>
  <c r="G68" i="9"/>
  <c r="N21" i="12"/>
  <c r="M21" i="12"/>
  <c r="L21" i="12"/>
  <c r="H13" i="9"/>
  <c r="H24" i="9"/>
  <c r="H35" i="9"/>
  <c r="H46" i="9"/>
  <c r="H57" i="9"/>
  <c r="H68" i="9"/>
  <c r="G21" i="12"/>
  <c r="F13" i="9"/>
  <c r="F24" i="9"/>
  <c r="F35" i="9"/>
  <c r="F46" i="9"/>
  <c r="F57" i="9"/>
  <c r="F68" i="9"/>
  <c r="F21" i="12"/>
  <c r="E13" i="9"/>
  <c r="E24" i="9"/>
  <c r="E35" i="9"/>
  <c r="E46" i="9"/>
  <c r="E57" i="9"/>
  <c r="E68" i="9"/>
  <c r="E21" i="12"/>
  <c r="D13" i="9"/>
  <c r="D24" i="9"/>
  <c r="D35" i="9"/>
  <c r="D46" i="9"/>
  <c r="D57" i="9"/>
  <c r="D68" i="9"/>
  <c r="D21" i="12"/>
  <c r="C27" i="12"/>
  <c r="C49" i="12"/>
  <c r="C28" i="12"/>
  <c r="C50" i="12"/>
  <c r="C26" i="12"/>
  <c r="C47" i="12"/>
  <c r="C22" i="12"/>
  <c r="C43" i="12"/>
  <c r="F15" i="10"/>
  <c r="C20" i="10"/>
  <c r="C31" i="10"/>
  <c r="C42" i="10"/>
  <c r="C53" i="10"/>
  <c r="C64" i="10"/>
  <c r="C75" i="10"/>
  <c r="B20" i="10"/>
  <c r="B31" i="10"/>
  <c r="B42" i="10"/>
  <c r="B53" i="10"/>
  <c r="B64" i="10"/>
  <c r="B75" i="10"/>
  <c r="C19" i="10"/>
  <c r="C30" i="10"/>
  <c r="C41" i="10"/>
  <c r="C52" i="10"/>
  <c r="C63" i="10"/>
  <c r="C74" i="10"/>
  <c r="B19" i="10"/>
  <c r="B30" i="10"/>
  <c r="B41" i="10"/>
  <c r="B52" i="10"/>
  <c r="B63" i="10"/>
  <c r="B74" i="10"/>
  <c r="C18" i="10"/>
  <c r="C29" i="10"/>
  <c r="C40" i="10"/>
  <c r="C51" i="10"/>
  <c r="C62" i="10"/>
  <c r="C73" i="10"/>
  <c r="B18" i="10"/>
  <c r="B29" i="10"/>
  <c r="B40" i="10"/>
  <c r="B51" i="10"/>
  <c r="B62" i="10"/>
  <c r="B73" i="10"/>
  <c r="C14" i="10"/>
  <c r="C25" i="10"/>
  <c r="C36" i="10"/>
  <c r="C47" i="10"/>
  <c r="C58" i="10"/>
  <c r="C69" i="10"/>
  <c r="B14" i="10"/>
  <c r="B25" i="10"/>
  <c r="B36" i="10"/>
  <c r="B47" i="10"/>
  <c r="B58" i="10"/>
  <c r="B69" i="10"/>
  <c r="C20" i="9"/>
  <c r="C31" i="9"/>
  <c r="C42" i="9"/>
  <c r="C53" i="9"/>
  <c r="C64" i="9"/>
  <c r="C75" i="9"/>
  <c r="B20" i="9"/>
  <c r="B31" i="9"/>
  <c r="B42" i="9"/>
  <c r="B53" i="9"/>
  <c r="B64" i="9"/>
  <c r="B75" i="9"/>
  <c r="C19" i="9"/>
  <c r="C30" i="9"/>
  <c r="C41" i="9"/>
  <c r="C52" i="9"/>
  <c r="C63" i="9"/>
  <c r="C74" i="9"/>
  <c r="B19" i="9"/>
  <c r="B30" i="9"/>
  <c r="B41" i="9"/>
  <c r="B52" i="9"/>
  <c r="B63" i="9"/>
  <c r="B74" i="9"/>
  <c r="C18" i="9"/>
  <c r="C29" i="9"/>
  <c r="C40" i="9"/>
  <c r="C51" i="9"/>
  <c r="C62" i="9"/>
  <c r="C73" i="9"/>
  <c r="B18" i="9"/>
  <c r="B29" i="9"/>
  <c r="B40" i="9"/>
  <c r="B51" i="9"/>
  <c r="B62" i="9"/>
  <c r="B73" i="9"/>
  <c r="C14" i="9"/>
  <c r="C25" i="9"/>
  <c r="C36" i="9"/>
  <c r="C47" i="9"/>
  <c r="C58" i="9"/>
  <c r="C69" i="9"/>
  <c r="B14" i="9"/>
  <c r="B25" i="9"/>
  <c r="B36" i="9"/>
  <c r="B47" i="9"/>
  <c r="B58" i="9"/>
  <c r="B69" i="9"/>
  <c r="D14" i="2"/>
  <c r="D25" i="2"/>
  <c r="D36" i="2"/>
  <c r="D47" i="2"/>
  <c r="C20" i="2"/>
  <c r="C31" i="2"/>
  <c r="C42" i="2"/>
  <c r="C53" i="2"/>
  <c r="C64" i="2"/>
  <c r="C75" i="2"/>
  <c r="B20" i="2"/>
  <c r="B31" i="2"/>
  <c r="B42" i="2"/>
  <c r="B53" i="2"/>
  <c r="B64" i="2"/>
  <c r="B75" i="2"/>
  <c r="C19" i="2"/>
  <c r="C30" i="2"/>
  <c r="C41" i="2"/>
  <c r="C52" i="2"/>
  <c r="C63" i="2"/>
  <c r="C74" i="2"/>
  <c r="B19" i="2"/>
  <c r="B30" i="2"/>
  <c r="B41" i="2"/>
  <c r="B52" i="2"/>
  <c r="B63" i="2"/>
  <c r="B74" i="2"/>
  <c r="C18" i="2"/>
  <c r="C29" i="2"/>
  <c r="C40" i="2"/>
  <c r="C51" i="2"/>
  <c r="C62" i="2"/>
  <c r="C73" i="2"/>
  <c r="B18" i="2"/>
  <c r="B29" i="2"/>
  <c r="B40" i="2"/>
  <c r="B51" i="2"/>
  <c r="B62" i="2"/>
  <c r="B73" i="2"/>
  <c r="C14" i="2"/>
  <c r="C25" i="2"/>
  <c r="C36" i="2"/>
  <c r="C47" i="2"/>
  <c r="C58" i="2"/>
  <c r="C69" i="2"/>
  <c r="B14" i="2"/>
  <c r="B25" i="2"/>
  <c r="B36" i="2"/>
  <c r="B47" i="2"/>
  <c r="B58" i="2"/>
  <c r="B69" i="2"/>
  <c r="J25" i="9"/>
  <c r="G70" i="10"/>
  <c r="G71" i="10"/>
  <c r="G72" i="10"/>
  <c r="G73" i="10"/>
  <c r="G74" i="10"/>
  <c r="G75" i="10"/>
  <c r="G69" i="10"/>
  <c r="G59" i="10"/>
  <c r="G60" i="10"/>
  <c r="G61" i="10"/>
  <c r="G62" i="10"/>
  <c r="G63" i="10"/>
  <c r="G64" i="10"/>
  <c r="G58" i="10"/>
  <c r="G48" i="10"/>
  <c r="G49" i="10"/>
  <c r="G50" i="10"/>
  <c r="G51" i="10"/>
  <c r="G52" i="10"/>
  <c r="G53" i="10"/>
  <c r="G47" i="10"/>
  <c r="H26" i="12"/>
  <c r="K28" i="10"/>
  <c r="K25" i="10"/>
  <c r="K26" i="10"/>
  <c r="M26" i="10"/>
  <c r="L26" i="10"/>
  <c r="M27" i="10"/>
  <c r="L27" i="10"/>
  <c r="K27" i="10"/>
  <c r="M31" i="10"/>
  <c r="L31" i="10"/>
  <c r="K31" i="10"/>
  <c r="J18" i="10"/>
  <c r="J17" i="10"/>
  <c r="J31" i="10"/>
  <c r="J25" i="10"/>
  <c r="J28" i="10"/>
  <c r="J38" i="10"/>
  <c r="J15" i="10"/>
  <c r="J26" i="10"/>
  <c r="J29" i="10"/>
  <c r="J41" i="10"/>
  <c r="J30" i="10"/>
  <c r="J27" i="10"/>
  <c r="J39" i="10"/>
  <c r="J37" i="10"/>
  <c r="J42" i="10"/>
  <c r="J19" i="10"/>
  <c r="J14" i="10"/>
  <c r="J16" i="10"/>
  <c r="J40" i="10"/>
  <c r="J36" i="10"/>
  <c r="J20" i="10"/>
  <c r="J47" i="10"/>
  <c r="G26" i="9"/>
  <c r="G37" i="9"/>
  <c r="G48" i="9"/>
  <c r="G59" i="9"/>
  <c r="G70" i="9"/>
  <c r="P64" i="11"/>
  <c r="O64" i="11"/>
  <c r="N64" i="11"/>
  <c r="M64" i="11"/>
  <c r="L64" i="11"/>
  <c r="K64" i="11"/>
  <c r="J64" i="11"/>
  <c r="I64" i="11"/>
  <c r="H64" i="11"/>
  <c r="G64" i="11"/>
  <c r="P63" i="11"/>
  <c r="O63" i="11"/>
  <c r="N63" i="11"/>
  <c r="M63" i="11"/>
  <c r="L63" i="11"/>
  <c r="K63" i="11"/>
  <c r="J63" i="11"/>
  <c r="I63" i="11"/>
  <c r="H63" i="11"/>
  <c r="G63" i="11"/>
  <c r="P62" i="11"/>
  <c r="O62" i="11"/>
  <c r="N62" i="11"/>
  <c r="M62" i="11"/>
  <c r="L62" i="11"/>
  <c r="K62" i="11"/>
  <c r="J62" i="11"/>
  <c r="I62" i="11"/>
  <c r="H62" i="11"/>
  <c r="G62" i="11"/>
  <c r="P61" i="11"/>
  <c r="O61" i="11"/>
  <c r="N61" i="11"/>
  <c r="M61" i="11"/>
  <c r="L61" i="11"/>
  <c r="K61" i="11"/>
  <c r="J61" i="11"/>
  <c r="I61" i="11"/>
  <c r="H61" i="11"/>
  <c r="G61" i="11"/>
  <c r="P60" i="11"/>
  <c r="O60" i="11"/>
  <c r="N60" i="11"/>
  <c r="M60" i="11"/>
  <c r="L60" i="11"/>
  <c r="K60" i="11"/>
  <c r="J60" i="11"/>
  <c r="I60" i="11"/>
  <c r="H60" i="11"/>
  <c r="G60" i="11"/>
  <c r="P59" i="11"/>
  <c r="O59" i="11"/>
  <c r="N59" i="11"/>
  <c r="M59" i="11"/>
  <c r="L59" i="11"/>
  <c r="K59" i="11"/>
  <c r="J59" i="11"/>
  <c r="I59" i="11"/>
  <c r="H59" i="11"/>
  <c r="G59" i="11"/>
  <c r="P58" i="11"/>
  <c r="O58" i="11"/>
  <c r="N58" i="11"/>
  <c r="M58" i="11"/>
  <c r="L58" i="11"/>
  <c r="K58" i="11"/>
  <c r="J58" i="11"/>
  <c r="I58" i="11"/>
  <c r="H58" i="11"/>
  <c r="G58" i="11"/>
  <c r="D20" i="11"/>
  <c r="C20" i="11"/>
  <c r="C31" i="11"/>
  <c r="B20" i="11"/>
  <c r="B31" i="11"/>
  <c r="B42" i="11"/>
  <c r="B53" i="11"/>
  <c r="B64" i="11"/>
  <c r="B75" i="11"/>
  <c r="D19" i="11"/>
  <c r="G30" i="11"/>
  <c r="C19" i="11"/>
  <c r="C30" i="11"/>
  <c r="B19" i="11"/>
  <c r="B30" i="11"/>
  <c r="B41" i="11"/>
  <c r="B52" i="11"/>
  <c r="B63" i="11"/>
  <c r="B74" i="11"/>
  <c r="D18" i="11"/>
  <c r="C18" i="11"/>
  <c r="F18" i="11"/>
  <c r="M18" i="11"/>
  <c r="B18" i="11"/>
  <c r="B29" i="11"/>
  <c r="B40" i="11"/>
  <c r="B51" i="11"/>
  <c r="B62" i="11"/>
  <c r="B73" i="11"/>
  <c r="D17" i="11"/>
  <c r="H28" i="11"/>
  <c r="C17" i="11"/>
  <c r="C28" i="11"/>
  <c r="B17" i="11"/>
  <c r="B28" i="11"/>
  <c r="B39" i="11"/>
  <c r="B50" i="11"/>
  <c r="B61" i="11"/>
  <c r="B72" i="11"/>
  <c r="D16" i="11"/>
  <c r="C16" i="11"/>
  <c r="C27" i="11"/>
  <c r="B16" i="11"/>
  <c r="B27" i="11"/>
  <c r="B38" i="11"/>
  <c r="B49" i="11"/>
  <c r="B60" i="11"/>
  <c r="B71" i="11"/>
  <c r="D15" i="11"/>
  <c r="J26" i="11"/>
  <c r="C15" i="11"/>
  <c r="C26" i="11"/>
  <c r="B15" i="11"/>
  <c r="B26" i="11"/>
  <c r="B37" i="11"/>
  <c r="B48" i="11"/>
  <c r="B59" i="11"/>
  <c r="B70" i="11"/>
  <c r="D14" i="11"/>
  <c r="C14" i="11"/>
  <c r="F14" i="11"/>
  <c r="B14" i="11"/>
  <c r="B25" i="11"/>
  <c r="B36" i="11"/>
  <c r="B47" i="11"/>
  <c r="B58" i="11"/>
  <c r="B69" i="11"/>
  <c r="F13" i="11"/>
  <c r="F24" i="11"/>
  <c r="F35" i="11"/>
  <c r="F46" i="11"/>
  <c r="F57" i="11"/>
  <c r="F68" i="11"/>
  <c r="E13" i="11"/>
  <c r="E24" i="11"/>
  <c r="E35" i="11"/>
  <c r="E46" i="11"/>
  <c r="E57" i="11"/>
  <c r="E68" i="11"/>
  <c r="D13" i="11"/>
  <c r="D24" i="11"/>
  <c r="D35" i="11"/>
  <c r="D46" i="11"/>
  <c r="D57" i="11"/>
  <c r="D68" i="11"/>
  <c r="C13" i="11"/>
  <c r="C24" i="11"/>
  <c r="C35" i="11"/>
  <c r="C46" i="11"/>
  <c r="C57" i="11"/>
  <c r="C68" i="11"/>
  <c r="B13" i="11"/>
  <c r="B24" i="11"/>
  <c r="B35" i="11"/>
  <c r="B46" i="11"/>
  <c r="B57" i="11"/>
  <c r="B68" i="11"/>
  <c r="D20" i="10"/>
  <c r="D31" i="10"/>
  <c r="D42" i="10"/>
  <c r="D53" i="10"/>
  <c r="D19" i="10"/>
  <c r="D30" i="10"/>
  <c r="D41" i="10"/>
  <c r="D52" i="10"/>
  <c r="D18" i="10"/>
  <c r="D29" i="10"/>
  <c r="D40" i="10"/>
  <c r="D51" i="10"/>
  <c r="D17" i="10"/>
  <c r="D28" i="10"/>
  <c r="D39" i="10"/>
  <c r="D50" i="10"/>
  <c r="D16" i="10"/>
  <c r="D27" i="10"/>
  <c r="D38" i="10"/>
  <c r="D49" i="10"/>
  <c r="D15" i="10"/>
  <c r="D26" i="10"/>
  <c r="D37" i="10"/>
  <c r="D48" i="10"/>
  <c r="D14" i="10"/>
  <c r="D25" i="10"/>
  <c r="D36" i="10"/>
  <c r="D47" i="10"/>
  <c r="I13" i="10"/>
  <c r="I24" i="10"/>
  <c r="I35" i="10"/>
  <c r="I46" i="10"/>
  <c r="F13" i="10"/>
  <c r="F24" i="10"/>
  <c r="F35" i="10"/>
  <c r="F46" i="10"/>
  <c r="E13" i="10"/>
  <c r="E24" i="10"/>
  <c r="E35" i="10"/>
  <c r="E46" i="10"/>
  <c r="D13" i="10"/>
  <c r="D24" i="10"/>
  <c r="D35" i="10"/>
  <c r="D46" i="10"/>
  <c r="R64" i="9"/>
  <c r="Q64" i="9"/>
  <c r="P64" i="9"/>
  <c r="O64" i="9"/>
  <c r="N64" i="9"/>
  <c r="M64" i="9"/>
  <c r="L64" i="9"/>
  <c r="K64" i="9"/>
  <c r="J64" i="9"/>
  <c r="I64" i="9"/>
  <c r="R63" i="9"/>
  <c r="Q63" i="9"/>
  <c r="P63" i="9"/>
  <c r="O63" i="9"/>
  <c r="N63" i="9"/>
  <c r="M63" i="9"/>
  <c r="L63" i="9"/>
  <c r="K63" i="9"/>
  <c r="J63" i="9"/>
  <c r="I63" i="9"/>
  <c r="R62" i="9"/>
  <c r="Q62" i="9"/>
  <c r="P62" i="9"/>
  <c r="O62" i="9"/>
  <c r="N62" i="9"/>
  <c r="M62" i="9"/>
  <c r="L62" i="9"/>
  <c r="K62" i="9"/>
  <c r="J62" i="9"/>
  <c r="I62" i="9"/>
  <c r="R61" i="9"/>
  <c r="Q61" i="9"/>
  <c r="P61" i="9"/>
  <c r="O61" i="9"/>
  <c r="N61" i="9"/>
  <c r="M61" i="9"/>
  <c r="L61" i="9"/>
  <c r="K61" i="9"/>
  <c r="J61" i="9"/>
  <c r="I61" i="9"/>
  <c r="R60" i="9"/>
  <c r="Q60" i="9"/>
  <c r="P60" i="9"/>
  <c r="O60" i="9"/>
  <c r="N60" i="9"/>
  <c r="M60" i="9"/>
  <c r="L60" i="9"/>
  <c r="K60" i="9"/>
  <c r="J60" i="9"/>
  <c r="I60" i="9"/>
  <c r="R59" i="9"/>
  <c r="Q59" i="9"/>
  <c r="P59" i="9"/>
  <c r="O59" i="9"/>
  <c r="N59" i="9"/>
  <c r="M59" i="9"/>
  <c r="L59" i="9"/>
  <c r="K59" i="9"/>
  <c r="J59" i="9"/>
  <c r="I59" i="9"/>
  <c r="R58" i="9"/>
  <c r="Q58" i="9"/>
  <c r="P58" i="9"/>
  <c r="O58" i="9"/>
  <c r="N58" i="9"/>
  <c r="M58" i="9"/>
  <c r="L58" i="9"/>
  <c r="K58" i="9"/>
  <c r="J58" i="9"/>
  <c r="I58" i="9"/>
  <c r="D20" i="9"/>
  <c r="D31" i="9"/>
  <c r="D42" i="9"/>
  <c r="D53" i="9"/>
  <c r="D64" i="9"/>
  <c r="D75" i="9"/>
  <c r="D19" i="9"/>
  <c r="D30" i="9"/>
  <c r="D41" i="9"/>
  <c r="D52" i="9"/>
  <c r="D63" i="9"/>
  <c r="D74" i="9"/>
  <c r="D18" i="9"/>
  <c r="D29" i="9"/>
  <c r="D40" i="9"/>
  <c r="D51" i="9"/>
  <c r="D62" i="9"/>
  <c r="D73" i="9"/>
  <c r="D17" i="9"/>
  <c r="D28" i="9"/>
  <c r="D39" i="9"/>
  <c r="D50" i="9"/>
  <c r="D61" i="9"/>
  <c r="D72" i="9"/>
  <c r="D16" i="9"/>
  <c r="D27" i="9"/>
  <c r="D38" i="9"/>
  <c r="D49" i="9"/>
  <c r="D60" i="9"/>
  <c r="D71" i="9"/>
  <c r="D15" i="9"/>
  <c r="D26" i="9"/>
  <c r="D37" i="9"/>
  <c r="D48" i="9"/>
  <c r="D59" i="9"/>
  <c r="D70" i="9"/>
  <c r="F25" i="9"/>
  <c r="F36" i="9"/>
  <c r="F47" i="9"/>
  <c r="F58" i="9"/>
  <c r="F69" i="9"/>
  <c r="D14" i="9"/>
  <c r="D25" i="9"/>
  <c r="D36" i="9"/>
  <c r="D47" i="9"/>
  <c r="D58" i="9"/>
  <c r="D69" i="9"/>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H13" i="2"/>
  <c r="H24" i="2"/>
  <c r="H35" i="2"/>
  <c r="H46" i="2"/>
  <c r="H57" i="2"/>
  <c r="H68" i="2"/>
  <c r="D15" i="2"/>
  <c r="D26" i="2"/>
  <c r="D37" i="2"/>
  <c r="D48" i="2"/>
  <c r="D59" i="2"/>
  <c r="D70" i="2"/>
  <c r="E15" i="2"/>
  <c r="H15" i="2"/>
  <c r="G15" i="2"/>
  <c r="G26" i="2"/>
  <c r="G37" i="2"/>
  <c r="G48" i="2"/>
  <c r="G59" i="2"/>
  <c r="G70" i="2"/>
  <c r="D16" i="2"/>
  <c r="D27" i="2"/>
  <c r="D38" i="2"/>
  <c r="D49" i="2"/>
  <c r="D60" i="2"/>
  <c r="D71" i="2"/>
  <c r="E16" i="2"/>
  <c r="H16" i="2"/>
  <c r="G16" i="2"/>
  <c r="G27" i="2"/>
  <c r="G38" i="2"/>
  <c r="G49" i="2"/>
  <c r="G60" i="2"/>
  <c r="G71" i="2"/>
  <c r="D17" i="2"/>
  <c r="D28" i="2"/>
  <c r="D39" i="2"/>
  <c r="D50" i="2"/>
  <c r="D61" i="2"/>
  <c r="D72" i="2"/>
  <c r="E17" i="2"/>
  <c r="H17" i="2"/>
  <c r="G17" i="2"/>
  <c r="G28" i="2"/>
  <c r="G39" i="2"/>
  <c r="G50" i="2"/>
  <c r="G61" i="2"/>
  <c r="G72" i="2"/>
  <c r="D18" i="2"/>
  <c r="D29" i="2"/>
  <c r="D40" i="2"/>
  <c r="D51" i="2"/>
  <c r="D62" i="2"/>
  <c r="D73" i="2"/>
  <c r="E18" i="2"/>
  <c r="H18" i="2"/>
  <c r="G18" i="2"/>
  <c r="G29" i="2"/>
  <c r="G40" i="2"/>
  <c r="G51" i="2"/>
  <c r="G62" i="2"/>
  <c r="G73" i="2"/>
  <c r="D19" i="2"/>
  <c r="D30" i="2"/>
  <c r="D41" i="2"/>
  <c r="D52" i="2"/>
  <c r="D63" i="2"/>
  <c r="D74" i="2"/>
  <c r="E19" i="2"/>
  <c r="H19" i="2"/>
  <c r="G19" i="2"/>
  <c r="G30" i="2"/>
  <c r="G41" i="2"/>
  <c r="G52" i="2"/>
  <c r="G63" i="2"/>
  <c r="G74" i="2"/>
  <c r="D20" i="2"/>
  <c r="D31" i="2"/>
  <c r="D42" i="2"/>
  <c r="D53" i="2"/>
  <c r="D64" i="2"/>
  <c r="D75" i="2"/>
  <c r="E20" i="2"/>
  <c r="H20" i="2"/>
  <c r="F20" i="2"/>
  <c r="G20" i="2"/>
  <c r="G31" i="2"/>
  <c r="G42" i="2"/>
  <c r="G53" i="2"/>
  <c r="G64" i="2"/>
  <c r="G75" i="2"/>
  <c r="D58" i="2"/>
  <c r="D69" i="2"/>
  <c r="G13" i="2"/>
  <c r="G24" i="2"/>
  <c r="G35" i="2"/>
  <c r="G46" i="2"/>
  <c r="G57" i="2"/>
  <c r="G68" i="2"/>
  <c r="F13" i="2"/>
  <c r="F24" i="2"/>
  <c r="F35" i="2"/>
  <c r="F46" i="2"/>
  <c r="F57" i="2"/>
  <c r="F68" i="2"/>
  <c r="E13" i="2"/>
  <c r="E24" i="2"/>
  <c r="E35" i="2"/>
  <c r="E46" i="2"/>
  <c r="E57" i="2"/>
  <c r="E68" i="2"/>
  <c r="D13" i="2"/>
  <c r="D24" i="2"/>
  <c r="D35" i="2"/>
  <c r="D46" i="2"/>
  <c r="D57" i="2"/>
  <c r="D68" i="2"/>
  <c r="H25" i="12"/>
  <c r="G28" i="9"/>
  <c r="G39" i="9"/>
  <c r="G50" i="9"/>
  <c r="G61" i="9"/>
  <c r="G72" i="9"/>
  <c r="J27" i="9"/>
  <c r="K27" i="9"/>
  <c r="J26" i="9"/>
  <c r="K26" i="9"/>
  <c r="L26" i="9"/>
  <c r="L31" i="9"/>
  <c r="J31" i="9"/>
  <c r="O31" i="9"/>
  <c r="N31" i="9"/>
  <c r="K31" i="9"/>
  <c r="M31" i="9"/>
  <c r="H28" i="12"/>
  <c r="H27" i="12"/>
  <c r="G25" i="2"/>
  <c r="G36" i="2"/>
  <c r="G47" i="2"/>
  <c r="G58" i="2"/>
  <c r="G69" i="2"/>
  <c r="L22" i="12"/>
  <c r="P42" i="2"/>
  <c r="L42" i="2"/>
  <c r="P31" i="2"/>
  <c r="Q42" i="2"/>
  <c r="L31" i="2"/>
  <c r="M42" i="2"/>
  <c r="Q31" i="2"/>
  <c r="R42" i="2"/>
  <c r="M20" i="2"/>
  <c r="Q20" i="2"/>
  <c r="L20" i="2"/>
  <c r="J42" i="2"/>
  <c r="J20" i="2"/>
  <c r="J53" i="2"/>
  <c r="N31" i="2"/>
  <c r="N20" i="2"/>
  <c r="S20" i="2"/>
  <c r="O42" i="2"/>
  <c r="K42" i="2"/>
  <c r="O31" i="2"/>
  <c r="M31" i="2"/>
  <c r="J31" i="2"/>
  <c r="N42" i="2"/>
  <c r="O20" i="2"/>
  <c r="K31" i="2"/>
  <c r="P20" i="2"/>
  <c r="R20" i="2"/>
  <c r="K20" i="2"/>
  <c r="J41" i="2"/>
  <c r="J19" i="2"/>
  <c r="J52" i="2"/>
  <c r="J30" i="2"/>
  <c r="K41" i="2"/>
  <c r="K30" i="2"/>
  <c r="L41" i="2"/>
  <c r="P19" i="2"/>
  <c r="O19" i="2"/>
  <c r="K19" i="2"/>
  <c r="N19" i="2"/>
  <c r="M19" i="2"/>
  <c r="S19" i="2"/>
  <c r="Q19" i="2"/>
  <c r="L19" i="2"/>
  <c r="L30" i="2"/>
  <c r="M41" i="2"/>
  <c r="R19" i="2"/>
  <c r="N18" i="2"/>
  <c r="R18" i="2"/>
  <c r="J29" i="2"/>
  <c r="K40" i="2"/>
  <c r="M18" i="2"/>
  <c r="S18" i="2"/>
  <c r="L18" i="2"/>
  <c r="J18" i="2"/>
  <c r="P18" i="2"/>
  <c r="J40" i="2"/>
  <c r="J51" i="2"/>
  <c r="K29" i="2"/>
  <c r="L40" i="2"/>
  <c r="K18" i="2"/>
  <c r="O18" i="2"/>
  <c r="Q18" i="2"/>
  <c r="K39" i="2"/>
  <c r="K28" i="2"/>
  <c r="L39" i="2"/>
  <c r="M17" i="2"/>
  <c r="Q17" i="2"/>
  <c r="L28" i="2"/>
  <c r="M28" i="2"/>
  <c r="N39" i="2"/>
  <c r="O17" i="2"/>
  <c r="J39" i="2"/>
  <c r="M39" i="2"/>
  <c r="J28" i="2"/>
  <c r="P17" i="2"/>
  <c r="R17" i="2"/>
  <c r="L17" i="2"/>
  <c r="S17" i="2"/>
  <c r="J17" i="2"/>
  <c r="N17" i="2"/>
  <c r="K17" i="2"/>
  <c r="L38" i="2"/>
  <c r="L27" i="2"/>
  <c r="P16" i="2"/>
  <c r="M27" i="2"/>
  <c r="N38" i="2"/>
  <c r="K38" i="2"/>
  <c r="J38" i="2"/>
  <c r="Q16" i="2"/>
  <c r="L16" i="2"/>
  <c r="M38" i="2"/>
  <c r="K27" i="2"/>
  <c r="O16" i="2"/>
  <c r="K16" i="2"/>
  <c r="J16" i="2"/>
  <c r="J27" i="2"/>
  <c r="N16" i="2"/>
  <c r="N27" i="2"/>
  <c r="R16" i="2"/>
  <c r="S16" i="2"/>
  <c r="M16" i="2"/>
  <c r="M37" i="2"/>
  <c r="J37" i="2"/>
  <c r="N26" i="2"/>
  <c r="M26" i="2"/>
  <c r="N37" i="2"/>
  <c r="J26" i="2"/>
  <c r="O15" i="2"/>
  <c r="S15" i="2"/>
  <c r="L26" i="2"/>
  <c r="M15" i="2"/>
  <c r="R15" i="2"/>
  <c r="K37" i="2"/>
  <c r="P15" i="2"/>
  <c r="L37" i="2"/>
  <c r="K26" i="2"/>
  <c r="J15" i="2"/>
  <c r="J48" i="2"/>
  <c r="O37" i="2"/>
  <c r="N15" i="2"/>
  <c r="K15" i="2"/>
  <c r="Q15" i="2"/>
  <c r="L15" i="2"/>
  <c r="H24" i="12"/>
  <c r="J28" i="9"/>
  <c r="G31" i="9"/>
  <c r="G42" i="9"/>
  <c r="G53" i="9"/>
  <c r="G64" i="9"/>
  <c r="G75" i="9"/>
  <c r="N28" i="12"/>
  <c r="G27" i="9"/>
  <c r="G38" i="9"/>
  <c r="G49" i="9"/>
  <c r="G60" i="9"/>
  <c r="G71" i="9"/>
  <c r="N24" i="12"/>
  <c r="L24" i="12"/>
  <c r="L28" i="12"/>
  <c r="I42" i="2"/>
  <c r="I20" i="2"/>
  <c r="I38" i="2"/>
  <c r="I16" i="2"/>
  <c r="L25" i="12"/>
  <c r="I37" i="9"/>
  <c r="L27" i="12"/>
  <c r="L23" i="12"/>
  <c r="F25" i="2"/>
  <c r="F36" i="2"/>
  <c r="F47" i="2"/>
  <c r="F58" i="2"/>
  <c r="F69" i="2"/>
  <c r="I14" i="2"/>
  <c r="F28" i="2"/>
  <c r="F39" i="2"/>
  <c r="F50" i="2"/>
  <c r="F61" i="2"/>
  <c r="F72" i="2"/>
  <c r="I17" i="2"/>
  <c r="F30" i="2"/>
  <c r="F41" i="2"/>
  <c r="F52" i="2"/>
  <c r="F63" i="2"/>
  <c r="F74" i="2"/>
  <c r="I19" i="2"/>
  <c r="I15" i="2"/>
  <c r="N23" i="12"/>
  <c r="N25" i="12"/>
  <c r="L26" i="12"/>
  <c r="I18" i="2"/>
  <c r="I29" i="9"/>
  <c r="D24" i="12"/>
  <c r="D45" i="12"/>
  <c r="D23" i="12"/>
  <c r="D44" i="12"/>
  <c r="D25" i="12"/>
  <c r="D46" i="12"/>
  <c r="E28" i="9"/>
  <c r="H28" i="9"/>
  <c r="D28" i="12"/>
  <c r="D50" i="12"/>
  <c r="E26" i="9"/>
  <c r="H26" i="9"/>
  <c r="D42" i="12"/>
  <c r="E42" i="12"/>
  <c r="D26" i="12"/>
  <c r="D47" i="12"/>
  <c r="E29" i="9"/>
  <c r="H29" i="9"/>
  <c r="F42" i="12"/>
  <c r="G42" i="12"/>
  <c r="D22" i="12"/>
  <c r="D43" i="12"/>
  <c r="D27" i="12"/>
  <c r="D49" i="12"/>
  <c r="E30" i="9"/>
  <c r="H30" i="9"/>
  <c r="F22" i="12"/>
  <c r="F43" i="12"/>
  <c r="G19" i="11"/>
  <c r="E27" i="10"/>
  <c r="E28" i="10"/>
  <c r="E30" i="10"/>
  <c r="E25" i="10"/>
  <c r="E31" i="10"/>
  <c r="F16" i="11"/>
  <c r="Q16" i="11"/>
  <c r="H74" i="11"/>
  <c r="G30" i="9"/>
  <c r="G41" i="9"/>
  <c r="G52" i="9"/>
  <c r="G63" i="9"/>
  <c r="G74" i="9"/>
  <c r="H72" i="11"/>
  <c r="I57" i="10"/>
  <c r="I68" i="10"/>
  <c r="D63" i="10"/>
  <c r="D74" i="10"/>
  <c r="E57" i="10"/>
  <c r="E68" i="10"/>
  <c r="D58" i="10"/>
  <c r="D69" i="10"/>
  <c r="D62" i="10"/>
  <c r="D73" i="10"/>
  <c r="D60" i="10"/>
  <c r="D71" i="10"/>
  <c r="D64" i="10"/>
  <c r="D75" i="10"/>
  <c r="D57" i="10"/>
  <c r="D68" i="10"/>
  <c r="D59" i="10"/>
  <c r="D70" i="10"/>
  <c r="F57" i="10"/>
  <c r="F68" i="10"/>
  <c r="D61" i="10"/>
  <c r="D72" i="10"/>
  <c r="J70" i="2"/>
  <c r="J72" i="2"/>
  <c r="J74" i="2"/>
  <c r="I14" i="9"/>
  <c r="I25" i="9"/>
  <c r="F29" i="9"/>
  <c r="F40" i="9"/>
  <c r="F51" i="9"/>
  <c r="F62" i="9"/>
  <c r="F73" i="9"/>
  <c r="I40" i="9"/>
  <c r="F28" i="10"/>
  <c r="F39" i="10"/>
  <c r="F50" i="10"/>
  <c r="F26" i="9"/>
  <c r="F37" i="9"/>
  <c r="F48" i="9"/>
  <c r="F59" i="9"/>
  <c r="F70" i="9"/>
  <c r="J69" i="9"/>
  <c r="O14" i="11"/>
  <c r="I18" i="9"/>
  <c r="I36" i="9"/>
  <c r="I15" i="9"/>
  <c r="I48" i="9"/>
  <c r="K15" i="11"/>
  <c r="D26" i="11"/>
  <c r="D37" i="11"/>
  <c r="D48" i="11"/>
  <c r="D59" i="11"/>
  <c r="D70" i="11"/>
  <c r="K26" i="11"/>
  <c r="L37" i="11"/>
  <c r="C29" i="11"/>
  <c r="H30" i="11"/>
  <c r="I41" i="11"/>
  <c r="E25" i="9"/>
  <c r="L15" i="11"/>
  <c r="C25" i="11"/>
  <c r="G26" i="11"/>
  <c r="J75" i="9"/>
  <c r="G15" i="11"/>
  <c r="G17" i="11"/>
  <c r="H26" i="11"/>
  <c r="D28" i="11"/>
  <c r="D39" i="11"/>
  <c r="D50" i="11"/>
  <c r="D61" i="11"/>
  <c r="D72" i="11"/>
  <c r="D30" i="11"/>
  <c r="D41" i="11"/>
  <c r="D52" i="11"/>
  <c r="D63" i="11"/>
  <c r="D74" i="11"/>
  <c r="J69" i="2"/>
  <c r="J71" i="2"/>
  <c r="J73" i="2"/>
  <c r="J75" i="2"/>
  <c r="J15" i="11"/>
  <c r="J17" i="11"/>
  <c r="F20" i="11"/>
  <c r="Q20" i="11"/>
  <c r="H71" i="11"/>
  <c r="H73" i="11"/>
  <c r="C39" i="11"/>
  <c r="F28" i="11"/>
  <c r="C42" i="11"/>
  <c r="F31" i="11"/>
  <c r="C37" i="11"/>
  <c r="F26" i="11"/>
  <c r="C38" i="11"/>
  <c r="F27" i="11"/>
  <c r="C41" i="11"/>
  <c r="F30" i="11"/>
  <c r="K14" i="11"/>
  <c r="I38" i="11"/>
  <c r="H38" i="11"/>
  <c r="H49" i="11"/>
  <c r="G38" i="11"/>
  <c r="I16" i="11"/>
  <c r="K18" i="11"/>
  <c r="O18" i="11"/>
  <c r="M42" i="11"/>
  <c r="I42" i="11"/>
  <c r="N31" i="11"/>
  <c r="O42" i="11"/>
  <c r="L42" i="11"/>
  <c r="H42" i="11"/>
  <c r="H53" i="11"/>
  <c r="M31" i="11"/>
  <c r="K42" i="11"/>
  <c r="G42" i="11"/>
  <c r="I20" i="11"/>
  <c r="M20" i="11"/>
  <c r="D25" i="11"/>
  <c r="D36" i="11"/>
  <c r="D47" i="11"/>
  <c r="D58" i="11"/>
  <c r="D69" i="11"/>
  <c r="H25" i="11"/>
  <c r="I36" i="11"/>
  <c r="L26" i="11"/>
  <c r="M37" i="11"/>
  <c r="D27" i="11"/>
  <c r="D38" i="11"/>
  <c r="D49" i="11"/>
  <c r="D60" i="11"/>
  <c r="D71" i="11"/>
  <c r="H27" i="11"/>
  <c r="D29" i="11"/>
  <c r="D40" i="11"/>
  <c r="D51" i="11"/>
  <c r="D62" i="11"/>
  <c r="D73" i="11"/>
  <c r="H29" i="11"/>
  <c r="I40" i="11"/>
  <c r="D31" i="11"/>
  <c r="D42" i="11"/>
  <c r="D53" i="11"/>
  <c r="D64" i="11"/>
  <c r="D75" i="11"/>
  <c r="H31" i="11"/>
  <c r="L31" i="11"/>
  <c r="G14" i="11"/>
  <c r="L14" i="11"/>
  <c r="P14" i="11"/>
  <c r="I37" i="11"/>
  <c r="H37" i="11"/>
  <c r="H48" i="11"/>
  <c r="K37" i="11"/>
  <c r="G37" i="11"/>
  <c r="I15" i="11"/>
  <c r="J16" i="11"/>
  <c r="F17" i="11"/>
  <c r="P17" i="11"/>
  <c r="G18" i="11"/>
  <c r="L18" i="11"/>
  <c r="P18" i="11"/>
  <c r="H41" i="11"/>
  <c r="H52" i="11"/>
  <c r="G41" i="11"/>
  <c r="I19" i="11"/>
  <c r="J20" i="11"/>
  <c r="N20" i="11"/>
  <c r="I25" i="11"/>
  <c r="I26" i="11"/>
  <c r="I27" i="11"/>
  <c r="I28" i="11"/>
  <c r="J39" i="11"/>
  <c r="I29" i="11"/>
  <c r="J40" i="11"/>
  <c r="I30" i="11"/>
  <c r="J41" i="11"/>
  <c r="I31" i="11"/>
  <c r="O31" i="11"/>
  <c r="J37" i="11"/>
  <c r="J38" i="11"/>
  <c r="J42" i="11"/>
  <c r="H36" i="11"/>
  <c r="H47" i="11"/>
  <c r="G36" i="11"/>
  <c r="I14" i="11"/>
  <c r="M14" i="11"/>
  <c r="Q14" i="11"/>
  <c r="K16" i="11"/>
  <c r="H40" i="11"/>
  <c r="H51" i="11"/>
  <c r="G40" i="11"/>
  <c r="I18" i="11"/>
  <c r="Q18" i="11"/>
  <c r="K20" i="11"/>
  <c r="O20" i="11"/>
  <c r="J27" i="11"/>
  <c r="K38" i="11"/>
  <c r="J28" i="11"/>
  <c r="K39" i="11"/>
  <c r="J31" i="11"/>
  <c r="N42" i="11"/>
  <c r="H70" i="11"/>
  <c r="J14" i="11"/>
  <c r="N14" i="11"/>
  <c r="F15" i="11"/>
  <c r="P15" i="11"/>
  <c r="G16" i="11"/>
  <c r="I39" i="11"/>
  <c r="H39" i="11"/>
  <c r="H50" i="11"/>
  <c r="G39" i="11"/>
  <c r="I17" i="11"/>
  <c r="J18" i="11"/>
  <c r="N18" i="11"/>
  <c r="F19" i="11"/>
  <c r="O19" i="11"/>
  <c r="G20" i="11"/>
  <c r="L20" i="11"/>
  <c r="G25" i="11"/>
  <c r="G27" i="11"/>
  <c r="K27" i="11"/>
  <c r="L38" i="11"/>
  <c r="G28" i="11"/>
  <c r="G29" i="11"/>
  <c r="G31" i="11"/>
  <c r="K31" i="11"/>
  <c r="H69" i="11"/>
  <c r="H75" i="11"/>
  <c r="F25" i="10"/>
  <c r="F36" i="10"/>
  <c r="F47" i="10"/>
  <c r="F26" i="10"/>
  <c r="F37" i="10"/>
  <c r="F48" i="10"/>
  <c r="E29" i="10"/>
  <c r="I29" i="10"/>
  <c r="F29" i="10"/>
  <c r="F40" i="10"/>
  <c r="F51" i="10"/>
  <c r="E26" i="10"/>
  <c r="I26" i="10"/>
  <c r="F30" i="10"/>
  <c r="F41" i="10"/>
  <c r="F52" i="10"/>
  <c r="F27" i="10"/>
  <c r="F38" i="10"/>
  <c r="F49" i="10"/>
  <c r="F31" i="10"/>
  <c r="F42" i="10"/>
  <c r="F53" i="10"/>
  <c r="F31" i="9"/>
  <c r="F42" i="9"/>
  <c r="F53" i="9"/>
  <c r="F64" i="9"/>
  <c r="F75" i="9"/>
  <c r="I16" i="9"/>
  <c r="F27" i="9"/>
  <c r="F38" i="9"/>
  <c r="F49" i="9"/>
  <c r="F60" i="9"/>
  <c r="F71" i="9"/>
  <c r="I26" i="9"/>
  <c r="E27" i="9"/>
  <c r="H27" i="9"/>
  <c r="E40" i="9"/>
  <c r="H40" i="9"/>
  <c r="E41" i="9"/>
  <c r="H41" i="9"/>
  <c r="I19" i="9"/>
  <c r="I20" i="9"/>
  <c r="F28" i="9"/>
  <c r="F39" i="9"/>
  <c r="F50" i="9"/>
  <c r="F61" i="9"/>
  <c r="F72" i="9"/>
  <c r="G29" i="9"/>
  <c r="G40" i="9"/>
  <c r="G51" i="9"/>
  <c r="G62" i="9"/>
  <c r="G73" i="9"/>
  <c r="I42" i="9"/>
  <c r="I31" i="9"/>
  <c r="G25" i="9"/>
  <c r="G36" i="9"/>
  <c r="G47" i="9"/>
  <c r="G58" i="9"/>
  <c r="G69" i="9"/>
  <c r="I27" i="9"/>
  <c r="I39" i="9"/>
  <c r="I28" i="9"/>
  <c r="I17" i="9"/>
  <c r="I41" i="9"/>
  <c r="I30" i="9"/>
  <c r="E31" i="9"/>
  <c r="H31" i="9"/>
  <c r="F30" i="9"/>
  <c r="F41" i="9"/>
  <c r="F52" i="9"/>
  <c r="F63" i="9"/>
  <c r="F74" i="9"/>
  <c r="I38" i="9"/>
  <c r="E39" i="9"/>
  <c r="H39" i="9"/>
  <c r="J70" i="9"/>
  <c r="J71" i="9"/>
  <c r="J72" i="9"/>
  <c r="J73" i="9"/>
  <c r="J74" i="9"/>
  <c r="I39" i="2"/>
  <c r="I40" i="2"/>
  <c r="I36" i="2"/>
  <c r="I41" i="2"/>
  <c r="J49" i="2"/>
  <c r="I37" i="2"/>
  <c r="J50" i="2"/>
  <c r="F26" i="2"/>
  <c r="F37" i="2"/>
  <c r="F48" i="2"/>
  <c r="F59" i="2"/>
  <c r="F70" i="2"/>
  <c r="F31" i="2"/>
  <c r="F42" i="2"/>
  <c r="F53" i="2"/>
  <c r="F64" i="2"/>
  <c r="F75" i="2"/>
  <c r="F29" i="2"/>
  <c r="F40" i="2"/>
  <c r="F51" i="2"/>
  <c r="F62" i="2"/>
  <c r="F73" i="2"/>
  <c r="F27" i="2"/>
  <c r="F38" i="2"/>
  <c r="F49" i="2"/>
  <c r="F60" i="2"/>
  <c r="F71" i="2"/>
  <c r="E27" i="2"/>
  <c r="H27" i="2"/>
  <c r="E31" i="2"/>
  <c r="H31" i="2"/>
  <c r="E25" i="2"/>
  <c r="H25" i="2"/>
  <c r="E29" i="2"/>
  <c r="H29" i="2"/>
  <c r="E26" i="2"/>
  <c r="H26" i="2"/>
  <c r="E28" i="2"/>
  <c r="H28" i="2"/>
  <c r="E30" i="2"/>
  <c r="H30" i="2"/>
  <c r="I25" i="2"/>
  <c r="I31" i="2"/>
  <c r="I26" i="2"/>
  <c r="I28" i="2"/>
  <c r="I29" i="2"/>
  <c r="I30" i="2"/>
  <c r="I27" i="2"/>
  <c r="R31" i="2"/>
  <c r="N28" i="2"/>
  <c r="O28" i="2"/>
  <c r="P28" i="2"/>
  <c r="Q28" i="2"/>
  <c r="R28" i="2"/>
  <c r="S28" i="2"/>
  <c r="O26" i="2"/>
  <c r="O27" i="2"/>
  <c r="O38" i="2"/>
  <c r="S31" i="2"/>
  <c r="S42" i="2"/>
  <c r="M30" i="2"/>
  <c r="Q39" i="2"/>
  <c r="O39" i="2"/>
  <c r="L29" i="2"/>
  <c r="P39" i="2"/>
  <c r="R39" i="2"/>
  <c r="S39" i="2"/>
  <c r="G52" i="11"/>
  <c r="O48" i="2"/>
  <c r="R53" i="2"/>
  <c r="N27" i="12"/>
  <c r="N22" i="12"/>
  <c r="M50" i="2"/>
  <c r="N49" i="2"/>
  <c r="N16" i="11"/>
  <c r="M16" i="11"/>
  <c r="N26" i="12"/>
  <c r="I51" i="9"/>
  <c r="J50" i="11"/>
  <c r="F24" i="12"/>
  <c r="F45" i="12"/>
  <c r="F23" i="12"/>
  <c r="F44" i="12"/>
  <c r="F25" i="12"/>
  <c r="F46" i="12"/>
  <c r="E37" i="9"/>
  <c r="H37" i="9"/>
  <c r="F26" i="12"/>
  <c r="F47" i="12"/>
  <c r="F28" i="12"/>
  <c r="F50" i="12"/>
  <c r="E36" i="9"/>
  <c r="H36" i="9"/>
  <c r="H25" i="9"/>
  <c r="F27" i="12"/>
  <c r="F49" i="12"/>
  <c r="E42" i="10"/>
  <c r="I31" i="10"/>
  <c r="H38" i="10"/>
  <c r="H49" i="10"/>
  <c r="H42" i="10"/>
  <c r="H53" i="10"/>
  <c r="H37" i="10"/>
  <c r="H48" i="10"/>
  <c r="E39" i="10"/>
  <c r="I28" i="10"/>
  <c r="E41" i="10"/>
  <c r="I30" i="10"/>
  <c r="H39" i="10"/>
  <c r="H50" i="10"/>
  <c r="H61" i="10"/>
  <c r="H72" i="10"/>
  <c r="H40" i="10"/>
  <c r="H51" i="10"/>
  <c r="H41" i="10"/>
  <c r="H52" i="10"/>
  <c r="E36" i="10"/>
  <c r="I25" i="10"/>
  <c r="H36" i="10"/>
  <c r="H47" i="10"/>
  <c r="E38" i="10"/>
  <c r="I27" i="10"/>
  <c r="P16" i="11"/>
  <c r="L16" i="11"/>
  <c r="L27" i="11"/>
  <c r="O16" i="11"/>
  <c r="L48" i="11"/>
  <c r="G48" i="11"/>
  <c r="P20" i="11"/>
  <c r="P31" i="11"/>
  <c r="Q31" i="11"/>
  <c r="I47" i="9"/>
  <c r="G50" i="11"/>
  <c r="G51" i="11"/>
  <c r="K48" i="11"/>
  <c r="I53" i="9"/>
  <c r="J53" i="11"/>
  <c r="M17" i="11"/>
  <c r="J48" i="11"/>
  <c r="F59" i="10"/>
  <c r="F70" i="10"/>
  <c r="F58" i="10"/>
  <c r="F69" i="10"/>
  <c r="F64" i="10"/>
  <c r="F75" i="10"/>
  <c r="F60" i="10"/>
  <c r="F71" i="10"/>
  <c r="F63" i="10"/>
  <c r="F74" i="10"/>
  <c r="F62" i="10"/>
  <c r="F73" i="10"/>
  <c r="F61" i="10"/>
  <c r="F72" i="10"/>
  <c r="J50" i="10"/>
  <c r="J51" i="10"/>
  <c r="J49" i="11"/>
  <c r="N19" i="11"/>
  <c r="K49" i="11"/>
  <c r="H79" i="11"/>
  <c r="J49" i="10"/>
  <c r="C36" i="11"/>
  <c r="F25" i="11"/>
  <c r="C40" i="11"/>
  <c r="F29" i="11"/>
  <c r="I49" i="11"/>
  <c r="J48" i="10"/>
  <c r="I49" i="9"/>
  <c r="I52" i="9"/>
  <c r="J25" i="11"/>
  <c r="K36" i="11"/>
  <c r="K47" i="11"/>
  <c r="I47" i="11"/>
  <c r="P42" i="11"/>
  <c r="J29" i="11"/>
  <c r="K29" i="11"/>
  <c r="J36" i="11"/>
  <c r="J47" i="11"/>
  <c r="C53" i="11"/>
  <c r="F42" i="11"/>
  <c r="K19" i="11"/>
  <c r="Q17" i="11"/>
  <c r="N53" i="11"/>
  <c r="J19" i="11"/>
  <c r="J52" i="11"/>
  <c r="L17" i="11"/>
  <c r="O17" i="11"/>
  <c r="G53" i="11"/>
  <c r="C52" i="11"/>
  <c r="F41" i="11"/>
  <c r="C49" i="11"/>
  <c r="F38" i="11"/>
  <c r="P19" i="11"/>
  <c r="L19" i="11"/>
  <c r="I50" i="11"/>
  <c r="I51" i="11"/>
  <c r="Q19" i="11"/>
  <c r="K17" i="11"/>
  <c r="K28" i="11"/>
  <c r="Q15" i="11"/>
  <c r="K53" i="11"/>
  <c r="I53" i="11"/>
  <c r="G49" i="11"/>
  <c r="J51" i="11"/>
  <c r="C50" i="11"/>
  <c r="F39" i="11"/>
  <c r="N15" i="11"/>
  <c r="G47" i="11"/>
  <c r="M19" i="11"/>
  <c r="I52" i="11"/>
  <c r="M15" i="11"/>
  <c r="M26" i="11"/>
  <c r="I48" i="11"/>
  <c r="O53" i="11"/>
  <c r="L53" i="11"/>
  <c r="M53" i="11"/>
  <c r="N17" i="11"/>
  <c r="C48" i="11"/>
  <c r="F37" i="11"/>
  <c r="O15" i="11"/>
  <c r="J52" i="10"/>
  <c r="J53" i="10"/>
  <c r="E40" i="10"/>
  <c r="I40" i="10"/>
  <c r="E37" i="10"/>
  <c r="I37" i="10"/>
  <c r="E42" i="9"/>
  <c r="H42" i="9"/>
  <c r="I50" i="9"/>
  <c r="E52" i="9"/>
  <c r="H52" i="9"/>
  <c r="E51" i="9"/>
  <c r="H51" i="9"/>
  <c r="E50" i="9"/>
  <c r="H50" i="9"/>
  <c r="E38" i="9"/>
  <c r="H38" i="9"/>
  <c r="L50" i="2"/>
  <c r="M48" i="2"/>
  <c r="Q53" i="2"/>
  <c r="I49" i="2"/>
  <c r="I51" i="2"/>
  <c r="E37" i="2"/>
  <c r="H37" i="2"/>
  <c r="E38" i="2"/>
  <c r="H38" i="2"/>
  <c r="E42" i="2"/>
  <c r="H42" i="2"/>
  <c r="E40" i="2"/>
  <c r="H40" i="2"/>
  <c r="E39" i="2"/>
  <c r="H39" i="2"/>
  <c r="E41" i="2"/>
  <c r="H41" i="2"/>
  <c r="E36" i="2"/>
  <c r="H36" i="2"/>
  <c r="L53" i="2"/>
  <c r="K48" i="2"/>
  <c r="O53" i="2"/>
  <c r="L49" i="2"/>
  <c r="K50" i="2"/>
  <c r="M49" i="2"/>
  <c r="M53" i="2"/>
  <c r="L48" i="2"/>
  <c r="I53" i="2"/>
  <c r="I48" i="2"/>
  <c r="N48" i="2"/>
  <c r="K52" i="2"/>
  <c r="P53" i="2"/>
  <c r="K53" i="2"/>
  <c r="I47" i="2"/>
  <c r="K51" i="2"/>
  <c r="I50" i="2"/>
  <c r="L52" i="2"/>
  <c r="N53" i="2"/>
  <c r="I52" i="2"/>
  <c r="K49" i="2"/>
  <c r="L51" i="2"/>
  <c r="P26" i="2"/>
  <c r="P37" i="2"/>
  <c r="L49" i="11"/>
  <c r="M29" i="2"/>
  <c r="M40" i="2"/>
  <c r="P27" i="2"/>
  <c r="P38" i="2"/>
  <c r="N41" i="2"/>
  <c r="N30" i="2"/>
  <c r="N50" i="2"/>
  <c r="E47" i="9"/>
  <c r="H47" i="9"/>
  <c r="E48" i="9"/>
  <c r="H48" i="9"/>
  <c r="P53" i="11"/>
  <c r="I38" i="10"/>
  <c r="E49" i="10"/>
  <c r="H59" i="10"/>
  <c r="H70" i="10"/>
  <c r="H58" i="10"/>
  <c r="H69" i="10"/>
  <c r="I36" i="10"/>
  <c r="E47" i="10"/>
  <c r="H64" i="10"/>
  <c r="H75" i="10"/>
  <c r="H63" i="10"/>
  <c r="H74" i="10"/>
  <c r="H60" i="10"/>
  <c r="H71" i="10"/>
  <c r="I42" i="10"/>
  <c r="E53" i="10"/>
  <c r="I39" i="10"/>
  <c r="E50" i="10"/>
  <c r="H62" i="10"/>
  <c r="H73" i="10"/>
  <c r="I41" i="10"/>
  <c r="E52" i="10"/>
  <c r="P25" i="12"/>
  <c r="Q42" i="11"/>
  <c r="Q53" i="11"/>
  <c r="K25" i="11"/>
  <c r="L36" i="11"/>
  <c r="L47" i="11"/>
  <c r="C51" i="11"/>
  <c r="F40" i="11"/>
  <c r="C47" i="11"/>
  <c r="F36" i="11"/>
  <c r="J30" i="11"/>
  <c r="K41" i="11"/>
  <c r="K52" i="11"/>
  <c r="K40" i="11"/>
  <c r="K51" i="11"/>
  <c r="M48" i="11"/>
  <c r="N37" i="11"/>
  <c r="N48" i="11"/>
  <c r="N26" i="11"/>
  <c r="C59" i="11"/>
  <c r="F48" i="11"/>
  <c r="M27" i="11"/>
  <c r="M38" i="11"/>
  <c r="M49" i="11"/>
  <c r="L28" i="11"/>
  <c r="L39" i="11"/>
  <c r="L50" i="11"/>
  <c r="C63" i="11"/>
  <c r="F52" i="11"/>
  <c r="C64" i="11"/>
  <c r="F53" i="11"/>
  <c r="F50" i="11"/>
  <c r="C61" i="11"/>
  <c r="C60" i="11"/>
  <c r="F49" i="11"/>
  <c r="K50" i="11"/>
  <c r="L29" i="11"/>
  <c r="L40" i="11"/>
  <c r="L51" i="11"/>
  <c r="E48" i="10"/>
  <c r="E51" i="10"/>
  <c r="E49" i="9"/>
  <c r="H49" i="9"/>
  <c r="E62" i="9"/>
  <c r="H62" i="9"/>
  <c r="E63" i="9"/>
  <c r="H63" i="9"/>
  <c r="E61" i="9"/>
  <c r="H61" i="9"/>
  <c r="E53" i="9"/>
  <c r="H53" i="9"/>
  <c r="E58" i="9"/>
  <c r="H58" i="9"/>
  <c r="M51" i="2"/>
  <c r="S53" i="2"/>
  <c r="I75" i="2"/>
  <c r="P48" i="2"/>
  <c r="E49" i="2"/>
  <c r="H49" i="2"/>
  <c r="E51" i="2"/>
  <c r="H51" i="2"/>
  <c r="E52" i="2"/>
  <c r="H52" i="2"/>
  <c r="E47" i="2"/>
  <c r="H47" i="2"/>
  <c r="E50" i="2"/>
  <c r="H50" i="2"/>
  <c r="E48" i="2"/>
  <c r="H48" i="2"/>
  <c r="E53" i="2"/>
  <c r="H53" i="2"/>
  <c r="M52" i="2"/>
  <c r="O49" i="2"/>
  <c r="Q26" i="2"/>
  <c r="Q37" i="2"/>
  <c r="Q48" i="2"/>
  <c r="E59" i="9"/>
  <c r="H59" i="9"/>
  <c r="G75" i="11"/>
  <c r="I75" i="11"/>
  <c r="Q27" i="2"/>
  <c r="Q38" i="2"/>
  <c r="O41" i="2"/>
  <c r="O30" i="2"/>
  <c r="S31" i="9"/>
  <c r="K75" i="9"/>
  <c r="N40" i="2"/>
  <c r="N29" i="2"/>
  <c r="N52" i="2"/>
  <c r="K75" i="2"/>
  <c r="M28" i="12"/>
  <c r="I50" i="10"/>
  <c r="E61" i="10"/>
  <c r="I53" i="10"/>
  <c r="E64" i="10"/>
  <c r="P28" i="12"/>
  <c r="I47" i="10"/>
  <c r="E58" i="10"/>
  <c r="I51" i="10"/>
  <c r="P24" i="12"/>
  <c r="P22" i="12"/>
  <c r="I48" i="10"/>
  <c r="P27" i="12"/>
  <c r="I52" i="10"/>
  <c r="E63" i="10"/>
  <c r="P23" i="12"/>
  <c r="I49" i="10"/>
  <c r="E60" i="10"/>
  <c r="P26" i="12"/>
  <c r="L25" i="11"/>
  <c r="M25" i="11"/>
  <c r="K30" i="11"/>
  <c r="L30" i="11"/>
  <c r="F47" i="11"/>
  <c r="C58" i="11"/>
  <c r="C62" i="11"/>
  <c r="F51" i="11"/>
  <c r="M28" i="11"/>
  <c r="M39" i="11"/>
  <c r="M50" i="11"/>
  <c r="N38" i="11"/>
  <c r="N49" i="11"/>
  <c r="N27" i="11"/>
  <c r="F61" i="11"/>
  <c r="C72" i="11"/>
  <c r="F72" i="11"/>
  <c r="C74" i="11"/>
  <c r="F74" i="11"/>
  <c r="F63" i="11"/>
  <c r="C70" i="11"/>
  <c r="F70" i="11"/>
  <c r="F59" i="11"/>
  <c r="C75" i="11"/>
  <c r="F75" i="11"/>
  <c r="F64" i="11"/>
  <c r="C71" i="11"/>
  <c r="F71" i="11"/>
  <c r="F60" i="11"/>
  <c r="M40" i="11"/>
  <c r="M51" i="11"/>
  <c r="M29" i="11"/>
  <c r="O26" i="11"/>
  <c r="O37" i="11"/>
  <c r="O48" i="11"/>
  <c r="E62" i="10"/>
  <c r="I62" i="10"/>
  <c r="E59" i="10"/>
  <c r="I59" i="10"/>
  <c r="E64" i="9"/>
  <c r="H64" i="9"/>
  <c r="E70" i="9"/>
  <c r="E60" i="9"/>
  <c r="H60" i="9"/>
  <c r="E69" i="9"/>
  <c r="E74" i="9"/>
  <c r="E72" i="9"/>
  <c r="E73" i="9"/>
  <c r="N51" i="2"/>
  <c r="O50" i="2"/>
  <c r="E59" i="2"/>
  <c r="H59" i="2"/>
  <c r="E58" i="2"/>
  <c r="H58" i="2"/>
  <c r="E62" i="2"/>
  <c r="H62" i="2"/>
  <c r="E63" i="2"/>
  <c r="H63" i="2"/>
  <c r="E60" i="2"/>
  <c r="H60" i="2"/>
  <c r="E64" i="2"/>
  <c r="H64" i="2"/>
  <c r="E61" i="2"/>
  <c r="H61" i="2"/>
  <c r="P49" i="2"/>
  <c r="R26" i="2"/>
  <c r="R37" i="2"/>
  <c r="R48" i="2"/>
  <c r="O29" i="2"/>
  <c r="O40" i="2"/>
  <c r="O51" i="2"/>
  <c r="P30" i="2"/>
  <c r="P41" i="2"/>
  <c r="R27" i="2"/>
  <c r="R38" i="2"/>
  <c r="P50" i="2"/>
  <c r="O52" i="2"/>
  <c r="M36" i="11"/>
  <c r="M47" i="11"/>
  <c r="E44" i="12"/>
  <c r="H70" i="9"/>
  <c r="H69" i="9"/>
  <c r="G22" i="12"/>
  <c r="E43" i="12"/>
  <c r="H73" i="9"/>
  <c r="G26" i="12"/>
  <c r="E47" i="12"/>
  <c r="L41" i="11"/>
  <c r="L52" i="11"/>
  <c r="H74" i="9"/>
  <c r="E49" i="12"/>
  <c r="E46" i="12"/>
  <c r="H72" i="9"/>
  <c r="I60" i="10"/>
  <c r="E71" i="10"/>
  <c r="I63" i="10"/>
  <c r="E74" i="10"/>
  <c r="I61" i="10"/>
  <c r="E72" i="10"/>
  <c r="I64" i="10"/>
  <c r="E75" i="10"/>
  <c r="I58" i="10"/>
  <c r="E69" i="10"/>
  <c r="G23" i="12"/>
  <c r="E23" i="12"/>
  <c r="F58" i="11"/>
  <c r="C69" i="11"/>
  <c r="F69" i="11"/>
  <c r="E26" i="12"/>
  <c r="E25" i="12"/>
  <c r="E27" i="12"/>
  <c r="E22" i="12"/>
  <c r="C73" i="11"/>
  <c r="F73" i="11"/>
  <c r="F62" i="11"/>
  <c r="O27" i="11"/>
  <c r="O38" i="11"/>
  <c r="O49" i="11"/>
  <c r="P26" i="11"/>
  <c r="P37" i="11"/>
  <c r="P48" i="11"/>
  <c r="N25" i="11"/>
  <c r="N36" i="11"/>
  <c r="N47" i="11"/>
  <c r="N29" i="11"/>
  <c r="N40" i="11"/>
  <c r="N51" i="11"/>
  <c r="M41" i="11"/>
  <c r="M52" i="11"/>
  <c r="M30" i="11"/>
  <c r="N39" i="11"/>
  <c r="N50" i="11"/>
  <c r="N28" i="11"/>
  <c r="E73" i="10"/>
  <c r="I73" i="10"/>
  <c r="E70" i="10"/>
  <c r="I70" i="10"/>
  <c r="E71" i="9"/>
  <c r="E75" i="9"/>
  <c r="E70" i="2"/>
  <c r="H70" i="2"/>
  <c r="E75" i="2"/>
  <c r="H75" i="2"/>
  <c r="E74" i="2"/>
  <c r="H74" i="2"/>
  <c r="E69" i="2"/>
  <c r="H69" i="2"/>
  <c r="E71" i="2"/>
  <c r="H71" i="2"/>
  <c r="E72" i="2"/>
  <c r="H72" i="2"/>
  <c r="E73" i="2"/>
  <c r="H73" i="2"/>
  <c r="Q49" i="2"/>
  <c r="S26" i="2"/>
  <c r="S37" i="2"/>
  <c r="S48" i="2"/>
  <c r="I70" i="2"/>
  <c r="T27" i="10"/>
  <c r="T26" i="10"/>
  <c r="Q30" i="2"/>
  <c r="Q41" i="2"/>
  <c r="T31" i="10"/>
  <c r="S26" i="9"/>
  <c r="S27" i="2"/>
  <c r="S38" i="2"/>
  <c r="P29" i="2"/>
  <c r="P40" i="2"/>
  <c r="P51" i="2"/>
  <c r="Q50" i="2"/>
  <c r="G49" i="12"/>
  <c r="P52" i="2"/>
  <c r="G47" i="12"/>
  <c r="G46" i="12"/>
  <c r="G43" i="12"/>
  <c r="M23" i="12"/>
  <c r="G44" i="12"/>
  <c r="G27" i="12"/>
  <c r="E45" i="12"/>
  <c r="H71" i="9"/>
  <c r="H75" i="9"/>
  <c r="E50" i="12"/>
  <c r="G25" i="12"/>
  <c r="I72" i="10"/>
  <c r="I74" i="10"/>
  <c r="I69" i="10"/>
  <c r="I75" i="10"/>
  <c r="I71" i="10"/>
  <c r="E24" i="12"/>
  <c r="E28" i="12"/>
  <c r="O40" i="11"/>
  <c r="O51" i="11"/>
  <c r="O29" i="11"/>
  <c r="Q37" i="11"/>
  <c r="Q48" i="11"/>
  <c r="G70" i="11"/>
  <c r="Q26" i="11"/>
  <c r="N41" i="11"/>
  <c r="N52" i="11"/>
  <c r="N30" i="11"/>
  <c r="O36" i="11"/>
  <c r="O47" i="11"/>
  <c r="O25" i="11"/>
  <c r="P38" i="11"/>
  <c r="P49" i="11"/>
  <c r="P27" i="11"/>
  <c r="O28" i="11"/>
  <c r="O39" i="11"/>
  <c r="O50" i="11"/>
  <c r="K70" i="2"/>
  <c r="R49" i="2"/>
  <c r="K70" i="9"/>
  <c r="R30" i="2"/>
  <c r="R41" i="2"/>
  <c r="Q29" i="2"/>
  <c r="Q40" i="2"/>
  <c r="Q51" i="2"/>
  <c r="G45" i="12"/>
  <c r="R50" i="2"/>
  <c r="G24" i="12"/>
  <c r="G50" i="12"/>
  <c r="G28" i="12"/>
  <c r="Q52" i="2"/>
  <c r="I70" i="11"/>
  <c r="O30" i="11"/>
  <c r="O41" i="11"/>
  <c r="O52" i="11"/>
  <c r="P40" i="11"/>
  <c r="P51" i="11"/>
  <c r="P29" i="11"/>
  <c r="P36" i="11"/>
  <c r="P47" i="11"/>
  <c r="P25" i="11"/>
  <c r="Q38" i="11"/>
  <c r="Q49" i="11"/>
  <c r="G71" i="11"/>
  <c r="I71" i="11"/>
  <c r="Q27" i="11"/>
  <c r="P28" i="11"/>
  <c r="P39" i="11"/>
  <c r="P50" i="11"/>
  <c r="S49" i="2"/>
  <c r="I71" i="2"/>
  <c r="S25" i="9"/>
  <c r="T28" i="10"/>
  <c r="S27" i="9"/>
  <c r="T25" i="10"/>
  <c r="R29" i="2"/>
  <c r="R40" i="2"/>
  <c r="R51" i="2"/>
  <c r="S30" i="2"/>
  <c r="S41" i="2"/>
  <c r="S28" i="9"/>
  <c r="S50" i="2"/>
  <c r="I72" i="2"/>
  <c r="M24" i="12"/>
  <c r="R52" i="2"/>
  <c r="Q29" i="11"/>
  <c r="Q40" i="11"/>
  <c r="Q51" i="11"/>
  <c r="G73" i="11"/>
  <c r="I73" i="11"/>
  <c r="Q36" i="11"/>
  <c r="Q47" i="11"/>
  <c r="G69" i="11"/>
  <c r="Q25" i="11"/>
  <c r="Q28" i="11"/>
  <c r="Q39" i="11"/>
  <c r="Q50" i="11"/>
  <c r="G72" i="11"/>
  <c r="I72" i="11"/>
  <c r="P30" i="11"/>
  <c r="P41" i="11"/>
  <c r="P52" i="11"/>
  <c r="K71" i="2"/>
  <c r="K72" i="9"/>
  <c r="L71" i="10"/>
  <c r="S25" i="2"/>
  <c r="S30" i="9"/>
  <c r="S29" i="2"/>
  <c r="S40" i="2"/>
  <c r="S51" i="2"/>
  <c r="I73" i="2"/>
  <c r="K71" i="9"/>
  <c r="T29" i="10"/>
  <c r="S29" i="9"/>
  <c r="T30" i="10"/>
  <c r="M25" i="12"/>
  <c r="S52" i="2"/>
  <c r="I74" i="2"/>
  <c r="L75" i="10"/>
  <c r="L70" i="10"/>
  <c r="K72" i="2"/>
  <c r="K69" i="9"/>
  <c r="I69" i="11"/>
  <c r="Q30" i="11"/>
  <c r="Q41" i="11"/>
  <c r="Q52" i="11"/>
  <c r="G74" i="11"/>
  <c r="I74" i="11"/>
  <c r="K73" i="9"/>
  <c r="K74" i="9"/>
  <c r="M26" i="12"/>
  <c r="K73" i="2"/>
  <c r="M27" i="12"/>
  <c r="K77" i="9"/>
  <c r="G79" i="11"/>
  <c r="I79" i="11"/>
  <c r="K74" i="2"/>
  <c r="K69" i="2"/>
  <c r="L72" i="10"/>
  <c r="K77" i="2"/>
  <c r="L73" i="10"/>
  <c r="L69" i="10"/>
  <c r="L74" i="10"/>
  <c r="L7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leonardi ramirez granados</author>
  </authors>
  <commentList>
    <comment ref="F14" authorId="0" shapeId="0" xr:uid="{00000000-0006-0000-0200-000001000000}">
      <text>
        <r>
          <rPr>
            <b/>
            <sz val="9"/>
            <color indexed="81"/>
            <rFont val="Tahoma"/>
            <family val="2"/>
          </rPr>
          <t>CRA:</t>
        </r>
        <r>
          <rPr>
            <sz val="9"/>
            <color indexed="81"/>
            <rFont val="Tahoma"/>
            <family val="2"/>
          </rPr>
          <t xml:space="preserve">
En el año tarifario tres (3) el prestador hace una actualización del POIR utilizando lo dispuesto en el art. 52 de la Res.CRA 688/14. En esta actualización aclara que el nuevo año de entrada en operación planeado será el año tarifario tres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leonardi ramirez granados</author>
  </authors>
  <commentList>
    <comment ref="F14" authorId="0" shapeId="0" xr:uid="{00000000-0006-0000-0300-000001000000}">
      <text>
        <r>
          <rPr>
            <b/>
            <sz val="9"/>
            <color indexed="81"/>
            <rFont val="Tahoma"/>
            <family val="2"/>
          </rPr>
          <t>CRA:</t>
        </r>
        <r>
          <rPr>
            <sz val="9"/>
            <color indexed="81"/>
            <rFont val="Tahoma"/>
            <family val="2"/>
          </rPr>
          <t xml:space="preserve">
En el año tarifario tres (3) el prestador hace una actualización del POIR utilizando lo dispuesto en el art. 52 de la Res.CRA 688/14. En esta actualización aclara que el nuevo año de entrada en operación planeado será el año tarifario tres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leonardi ramirez granados</author>
    <author>Steven Vargas Torres</author>
    <author>Juan Leonardi Ramirez Granados</author>
  </authors>
  <commentList>
    <comment ref="I22" authorId="0" shapeId="0" xr:uid="{00000000-0006-0000-0400-000001000000}">
      <text>
        <r>
          <rPr>
            <b/>
            <sz val="9"/>
            <color indexed="81"/>
            <rFont val="Tahoma"/>
            <family val="2"/>
          </rPr>
          <t>CRA:</t>
        </r>
        <r>
          <rPr>
            <sz val="9"/>
            <color indexed="81"/>
            <rFont val="Tahoma"/>
            <family val="2"/>
          </rPr>
          <t xml:space="preserve">
En el año tarifario tres (3) el prestador hace una actualización del POIR utilizando lo dispuesto en el art. 52 de la Res.CRA 688/14. En esta actualización aclara que el nuevo año de entrada en operación planeado será el año tarifario tres (3).</t>
        </r>
      </text>
    </comment>
    <comment ref="K22" authorId="0" shapeId="0" xr:uid="{00000000-0006-0000-0400-000002000000}">
      <text>
        <r>
          <rPr>
            <b/>
            <sz val="9"/>
            <color indexed="81"/>
            <rFont val="Tahoma"/>
            <family val="2"/>
          </rPr>
          <t>CRA:</t>
        </r>
        <r>
          <rPr>
            <sz val="9"/>
            <color indexed="81"/>
            <rFont val="Tahoma"/>
            <family val="2"/>
          </rPr>
          <t xml:space="preserve">
Estas celdas deben ser diligenciadas manualmente.</t>
        </r>
      </text>
    </comment>
    <comment ref="U22" authorId="1" shapeId="0" xr:uid="{00000000-0006-0000-0400-000003000000}">
      <text>
        <r>
          <rPr>
            <b/>
            <sz val="9"/>
            <color indexed="81"/>
            <rFont val="Tahoma"/>
            <family val="2"/>
          </rPr>
          <t>CRA:</t>
        </r>
        <r>
          <rPr>
            <sz val="9"/>
            <color indexed="81"/>
            <rFont val="Tahoma"/>
            <family val="2"/>
          </rPr>
          <t xml:space="preserve">
Según lo estipulado en el "Tablero de Control", el Activo 1 fue planeado para entrar en operación en el año tarifario dos (2). No obstante, el prestador del ejemplo presentó un retraso en su ejecución y terminó por ponerlo en operación en el año tarifario tres (3).
Frente a lo anterior, el prestador adoptó la disposición descrita en el artículo 52 de la Resolución CRA 688 de 2014 referente a cambiar el valor planeado del activo siempre y cuando se mantenga el valor presente del plan de inversiones del estudio tarifario.
En razón a lo anterior, dado que el prestador ya ejecutó la inversión no debera volver a provisionar debido a que se iguala el valor presente del costo de inversión planeado del POIR actualizado con el valor presente del costo de inversión ejecutado.</t>
        </r>
      </text>
    </comment>
    <comment ref="W24" authorId="0" shapeId="0" xr:uid="{00000000-0006-0000-0400-000004000000}">
      <text>
        <r>
          <rPr>
            <b/>
            <sz val="9"/>
            <color indexed="81"/>
            <rFont val="Tahoma"/>
            <family val="2"/>
          </rPr>
          <t xml:space="preserve">CRA:
</t>
        </r>
        <r>
          <rPr>
            <sz val="9"/>
            <color indexed="81"/>
            <rFont val="Tahoma"/>
            <family val="2"/>
          </rPr>
          <t>Según lo estipulado en el "Tablero de Control", el Activo 3 fue planeado para entrar en operación en el año tarifario cuatro (4). No obstante, el prestador del ejemplo presentó un retraso en su ejecución y terminó por ponerlo en operación en el año tarifario cinco (5).
Con fin de evitar la generación de provisiones posteriores a la entrada en operación del activo, el prestador tiene la posibilidad de solicitar una modificación de carácter particular en la fórmula tarifaria en los términos de la Resolución CRA 864 de 2018 o aplicar la disposición descrita en el artículo 52 de la Resolución CRA 688 de 2014 referente a cambiar el valor planeado del activo siempre y cuando se mantenga el valor presente del plan de inversiones del estudio tarifario para equiparar lo planeado en relación con lo ejecutado para este caso específico.</t>
        </r>
      </text>
    </comment>
    <comment ref="S28" authorId="0" shapeId="0" xr:uid="{00000000-0006-0000-0400-000005000000}">
      <text>
        <r>
          <rPr>
            <b/>
            <sz val="9"/>
            <color indexed="81"/>
            <rFont val="Tahoma"/>
            <family val="2"/>
          </rPr>
          <t>CRA:</t>
        </r>
        <r>
          <rPr>
            <sz val="9"/>
            <color indexed="81"/>
            <rFont val="Tahoma"/>
            <family val="2"/>
          </rPr>
          <t xml:space="preserve">
Según lo estipulado en el "Tablero de Control", el activo 7 esta planeado para entrar en operación en el año 8. No obstante, el prestador adelanta el activo para el año tarifario 5 y por ello genera un valor negativo a provisionar.
</t>
        </r>
      </text>
    </comment>
    <comment ref="E56" authorId="2" shapeId="0" xr:uid="{00000000-0006-0000-0400-000006000000}">
      <text>
        <r>
          <rPr>
            <b/>
            <sz val="9"/>
            <color indexed="81"/>
            <rFont val="Tahoma"/>
            <family val="2"/>
          </rPr>
          <t xml:space="preserve">CRA:
</t>
        </r>
        <r>
          <rPr>
            <sz val="9"/>
            <color indexed="81"/>
            <rFont val="Tahoma"/>
            <family val="2"/>
          </rPr>
          <t xml:space="preserve">Para este cálculo se toman los índices disponibles a la fecha para hacer ésta actualización al año tarifario 5 a manera de ejemplo. Este ejercicio deberá ser ajustado cuando se dispongan de los datos correspondientes. </t>
        </r>
        <r>
          <rPr>
            <sz val="9"/>
            <color indexed="81"/>
            <rFont val="Tahoma"/>
            <family val="2"/>
          </rPr>
          <t xml:space="preserve">
</t>
        </r>
      </text>
    </comment>
  </commentList>
</comments>
</file>

<file path=xl/sharedStrings.xml><?xml version="1.0" encoding="utf-8"?>
<sst xmlns="http://schemas.openxmlformats.org/spreadsheetml/2006/main" count="332" uniqueCount="143">
  <si>
    <t>Parámetro Res. CRA 688 de 2014</t>
  </si>
  <si>
    <t>WACC</t>
  </si>
  <si>
    <t>WACC 1er segmento</t>
  </si>
  <si>
    <t>WACC 2do segmento</t>
  </si>
  <si>
    <t>Valor</t>
  </si>
  <si>
    <t>CAPTACIÓN</t>
  </si>
  <si>
    <t>ACTIVO 1</t>
  </si>
  <si>
    <t>ACTIVO 2</t>
  </si>
  <si>
    <t>ACTIVO 3</t>
  </si>
  <si>
    <t>TRATAMIENTO</t>
  </si>
  <si>
    <t>ACTIVO 5</t>
  </si>
  <si>
    <t>ACTIVO 6</t>
  </si>
  <si>
    <t>ACTIVO 7</t>
  </si>
  <si>
    <t>Actividad del activo j</t>
  </si>
  <si>
    <t>Identificación del activo</t>
  </si>
  <si>
    <t>Año planeado</t>
  </si>
  <si>
    <t>NA</t>
  </si>
  <si>
    <t>No lo ejecutó</t>
  </si>
  <si>
    <t>Entra en operación</t>
  </si>
  <si>
    <t>Se ejecuta por menor valor que el planeado</t>
  </si>
  <si>
    <t>Se ejecuta por mayor valor que el planeado</t>
  </si>
  <si>
    <t>NA CORRESPONDE A LOS ACTIVOS QUE NO SE PLANEARON AL AÑO TARIFARIO ANALIZADO</t>
  </si>
  <si>
    <t>Observación</t>
  </si>
  <si>
    <t>Tras cambiar el POIR, el valor del activo ahora es de 1.000 millones con el fin de mantener el valor presente.</t>
  </si>
  <si>
    <t>Este activo se ejecutó por 2.000 millones menos de lo inicialmente planeado.</t>
  </si>
  <si>
    <t>Parámetro Res. CRA 913 de 2020</t>
  </si>
  <si>
    <t>Condición PI_ENCARGO negativo</t>
  </si>
  <si>
    <t>Vida Útil</t>
  </si>
  <si>
    <t>VP(CIi,ac, al)</t>
  </si>
  <si>
    <t>VP(CCPi,ac, al)</t>
  </si>
  <si>
    <t>r * BCR1,ac, al</t>
  </si>
  <si>
    <t>r * BCR2,ac, al</t>
  </si>
  <si>
    <t>r * BCR3,ac, al</t>
  </si>
  <si>
    <t>r * BCR4,ac, al</t>
  </si>
  <si>
    <t>r * BCR5,ac, al</t>
  </si>
  <si>
    <t>r * BCR6,ac, al</t>
  </si>
  <si>
    <t>r * BCR7,ac, al</t>
  </si>
  <si>
    <t>r * BCR8,ac, al</t>
  </si>
  <si>
    <t>r * BCR9,ac, al</t>
  </si>
  <si>
    <t>r * BCR10,ac, al</t>
  </si>
  <si>
    <t>r * BCR0,ac, al</t>
  </si>
  <si>
    <t>CCP</t>
  </si>
  <si>
    <t>Año 1</t>
  </si>
  <si>
    <t>Año 2</t>
  </si>
  <si>
    <t>Año 3</t>
  </si>
  <si>
    <t>Año 4</t>
  </si>
  <si>
    <t>Año 5</t>
  </si>
  <si>
    <t>Año 6</t>
  </si>
  <si>
    <t>Año 7</t>
  </si>
  <si>
    <t>Año 8</t>
  </si>
  <si>
    <t>Año 9</t>
  </si>
  <si>
    <t>Año 10</t>
  </si>
  <si>
    <t>Variable</t>
  </si>
  <si>
    <t>CMI</t>
  </si>
  <si>
    <t>Depreciación (d)</t>
  </si>
  <si>
    <t>Base de capital regulado (BCRi)</t>
  </si>
  <si>
    <t>Base de capital regulado (BCRi) * r</t>
  </si>
  <si>
    <t>Costo de inversión (CI)</t>
  </si>
  <si>
    <t>Consumo corregido por pérdidas (CCP)</t>
  </si>
  <si>
    <t>Costo medio de inversión (CMI)</t>
  </si>
  <si>
    <t xml:space="preserve">       CMI POIR PLANEADO</t>
  </si>
  <si>
    <t xml:space="preserve">       CMI POIR ACTUALIZADO</t>
  </si>
  <si>
    <t xml:space="preserve">       CMI POIR EJECUTADO</t>
  </si>
  <si>
    <t>Valor POIR planeado del activo j</t>
  </si>
  <si>
    <t>Valor POIR actualizado del activo j</t>
  </si>
  <si>
    <t>Valor POIR ejecutado del activo j</t>
  </si>
  <si>
    <t xml:space="preserve">       Provisión de recursos por no ejecución de las inversiones planeadas en el POIR</t>
  </si>
  <si>
    <t>Costo de inversión del activo j de la actividad act en el año i, planeado conforme al POIR actualizado</t>
  </si>
  <si>
    <t>Variables de control</t>
  </si>
  <si>
    <t>Costo de inversión del activo j de la actividad act que entró en operación en el año i</t>
  </si>
  <si>
    <t>Año de ejecución</t>
  </si>
  <si>
    <t>Q1,ac,al</t>
  </si>
  <si>
    <t>Q2,ac,al</t>
  </si>
  <si>
    <t>Q3,ac,al</t>
  </si>
  <si>
    <t>Q4,ac,al</t>
  </si>
  <si>
    <t>Q5,ac,al</t>
  </si>
  <si>
    <r>
      <t>Q</t>
    </r>
    <r>
      <rPr>
        <b/>
        <vertAlign val="subscript"/>
        <sz val="10"/>
        <color rgb="FF3F3F3F"/>
        <rFont val="Arial"/>
        <family val="2"/>
      </rPr>
      <t>i,ac/al</t>
    </r>
  </si>
  <si>
    <t xml:space="preserve">ÍNDICES PARA EL CÁLCULO Y ACTUALIZACIÓN DE TARIFAS - SERVICIOS PÚBLICOS DE ACUEDUCTO, ALCANTARILLADO Y ASEO.
FUENTES: DEPARTAMENTO ADMINISTRATIVO NACIONAL DE ESTADÍSTICA - DANE </t>
  </si>
  <si>
    <t>IPC - BASE DANE: DICIEMBRE DE 2018</t>
  </si>
  <si>
    <t>Mes / Año</t>
  </si>
  <si>
    <t>2014</t>
  </si>
  <si>
    <t>2015</t>
  </si>
  <si>
    <t>2016</t>
  </si>
  <si>
    <t>2017</t>
  </si>
  <si>
    <t>2018</t>
  </si>
  <si>
    <t>2019</t>
  </si>
  <si>
    <t>2020</t>
  </si>
  <si>
    <t>Enero</t>
  </si>
  <si>
    <t>Febrero</t>
  </si>
  <si>
    <t>Marzo</t>
  </si>
  <si>
    <t>Abril</t>
  </si>
  <si>
    <t>Mayo</t>
  </si>
  <si>
    <t>Junio</t>
  </si>
  <si>
    <t>Julio</t>
  </si>
  <si>
    <t>Agosto</t>
  </si>
  <si>
    <t>Septiembre</t>
  </si>
  <si>
    <t>Octubre</t>
  </si>
  <si>
    <t>Noviembre</t>
  </si>
  <si>
    <t>Diciembre</t>
  </si>
  <si>
    <r>
      <t>Diferencia entre el costo medio de las inversiones planeadas conforme al POIR actualizado y el costo medio de las inversiones ejecutadas del POIR actualizado, para cada uno de los activos j de la actividad act, en el año i. DIF_CMI</t>
    </r>
    <r>
      <rPr>
        <b/>
        <vertAlign val="subscript"/>
        <sz val="9"/>
        <color theme="3"/>
        <rFont val="Arial"/>
        <family val="2"/>
      </rPr>
      <t>i,act,j,ac/al</t>
    </r>
  </si>
  <si>
    <r>
      <t>Provisión de recursos por no ejecución de cada activo j que hace parte de cada actividad act, al cierre del año tarifario p, para cada uno de los servicios públicos domiciliarios de acueducto y/o alcantarillado  Pi</t>
    </r>
    <r>
      <rPr>
        <b/>
        <vertAlign val="subscript"/>
        <sz val="9"/>
        <color theme="3"/>
        <rFont val="Arial"/>
        <family val="2"/>
      </rPr>
      <t xml:space="preserve">p,act,j,ac/al </t>
    </r>
  </si>
  <si>
    <r>
      <t>Provisión de los recursos por no ejecución de las inversiones planeadas en el POIR disponible en el encargo fiduciario, para cada uno de los servicio públicos domiciliarios de acueducto y/o alcantarillado PI_ENCARGO</t>
    </r>
    <r>
      <rPr>
        <b/>
        <vertAlign val="subscript"/>
        <sz val="9"/>
        <color theme="3"/>
        <rFont val="Arial"/>
        <family val="2"/>
      </rPr>
      <t>p,ac/al</t>
    </r>
  </si>
  <si>
    <t>Modifica POIR y entra en operación</t>
  </si>
  <si>
    <t>Modifica POIR</t>
  </si>
  <si>
    <t>r * BCR0ac, al</t>
  </si>
  <si>
    <t>Base de capital regulado del año anterior (BCRi-1) * r</t>
  </si>
  <si>
    <t>CMI Resultante</t>
  </si>
  <si>
    <t>Tras cambiar el POIR, el valor del activo ahora es de 1.796 millones con el fin de mantener el valor presente.</t>
  </si>
  <si>
    <t>Costo de inversión del activo j de la actividad act en el año i, planeado conforme al POIR</t>
  </si>
  <si>
    <t>Estado del activo</t>
  </si>
  <si>
    <t>¿Modifica el POIR?</t>
  </si>
  <si>
    <t>- Año tarifario planeado: 2
- Lo ejecuta según lo planeado
-Se ejecuta por un valor menor a lo inicialmente planeado</t>
  </si>
  <si>
    <t>- Año tarifario planeado: 2
- Lo ejecuta según lo planeado
-Se ejecuta por un valor mayor a lo inicialmente planeado</t>
  </si>
  <si>
    <t>Año del cálculo de la Provisión</t>
  </si>
  <si>
    <t>- Año tarifario planeado: 4
- No lo ejecuta según lo planeado
-Lo ejecuta en el año tarifario 5</t>
  </si>
  <si>
    <t>- Año tarifario planeado: 5
-Año tarifario 3: Modifica el POIR
-Lo ejecuta por un valor diferente al planeado en año tarifario 5</t>
  </si>
  <si>
    <t>- Año tarifario planeado: 8
-Lo ejecuta en el año tarifario 5</t>
  </si>
  <si>
    <t>Sí</t>
  </si>
  <si>
    <t>SERVICIO</t>
  </si>
  <si>
    <t>SUBSISTEMA</t>
  </si>
  <si>
    <t>ACUEDUCTO</t>
  </si>
  <si>
    <t>ALCANTARILLADO</t>
  </si>
  <si>
    <t>PRODUCCIÓN DE AGUA POTABLE</t>
  </si>
  <si>
    <t>TRANSPORTE DE AGUA POTABLE</t>
  </si>
  <si>
    <t>RECOLECCIÓN Y TRANSPORTE DE AGUAS RESIDUALES</t>
  </si>
  <si>
    <t>TRATAMIENTO Y/O DISPOSICIÓN FINAL DE AGUAS RESIDUALES</t>
  </si>
  <si>
    <t xml:space="preserve">ADUCCIÓN </t>
  </si>
  <si>
    <t>PRETRATAMIENTO</t>
  </si>
  <si>
    <t xml:space="preserve">CONDUCCIÓN </t>
  </si>
  <si>
    <t>ELEVACIÓN Y BOMBEO</t>
  </si>
  <si>
    <t>DISPOSICIÓN FINAL</t>
  </si>
  <si>
    <t xml:space="preserve">El prestador manifiesta que este activo lo ejecutó realmente por un valor de 5.000 millones. </t>
  </si>
  <si>
    <t>Año de la Modificación del POIR</t>
  </si>
  <si>
    <t>- Año tarifario planeado: 2
- No lo ejecuta según lo planeado
-Año tarifario 3: Modifica el POIR y lo ejecuta en el mismo año (3)</t>
  </si>
  <si>
    <t>ACTIVO 4*</t>
  </si>
  <si>
    <t>Con base en el art. 52 de la Res. CRA 688/14 en el cual se permite modificar los proyectos siempre y cuando se cumplan con las metas inicialmente definidas y se mantenga el valor presente del POIR, el activo inicialmente planeado como ACTIVO 4, fue reemplazado por un activo similar (ACTIVO 4*) el cual cumple con las mismas condiciones de valor planeado, año de ejecución y con las metas planteadas en el estudio de costos.</t>
  </si>
  <si>
    <t>- Año tarifario planeado: 3
- Lo ejecuta según lo planeado
- Se recuerda que este activo reemplazó al ACTIVO 4, cumpliendo con las condiciones del art. 52 de la Res.CRA 688/14</t>
  </si>
  <si>
    <t>¿El activo debió entrar en operación en el año tarifario 5? O ¿Entró en operación antes de lo planeado?</t>
  </si>
  <si>
    <t>Estado de los activos en el 5to año tarifario</t>
  </si>
  <si>
    <t xml:space="preserve">              EJEMPLO DE PROVISIÓN DE INVERSIONES PARA LA EMPRESA XYZ S.A. E.S.P.</t>
  </si>
  <si>
    <t>PI,i,ac Año tarifario 5</t>
  </si>
  <si>
    <t>PI,i,alAño tarifario 5</t>
  </si>
  <si>
    <r>
      <t>Nota aclaratoria:</t>
    </r>
    <r>
      <rPr>
        <i/>
        <sz val="16"/>
        <color theme="1"/>
        <rFont val="Arial"/>
        <family val="2"/>
      </rPr>
      <t xml:space="preserve"> La CRA presenta a modo de ejemplo los siguientes cálculos con el fin de otorgar una herramienta para que las personas prestadoras puedan aplicar las previsiones contenidas en la Resolución CRA 938 de 2020. Por tanto, los resultados del cálculo que realicen las personas prestadoras no comprometen la responsabilidad de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</si>
</sst>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00\ &quot;€&quot;;[Red]\-#,##0.00\ &quot;€&quot;"/>
    <numFmt numFmtId="165" formatCode="&quot;$&quot;#,##0.00;[Red]\-&quot;$&quot;#,##0.00"/>
    <numFmt numFmtId="166" formatCode="_-&quot;$&quot;* #,##0_-;\-&quot;$&quot;* #,##0_-;_-&quot;$&quot;* &quot;-&quot;_-;_-@_-"/>
    <numFmt numFmtId="167" formatCode="#,##0&quot; d,ac,al&quot;"/>
    <numFmt numFmtId="168" formatCode="#,##0\ &quot; BCR,ac,al&quot;"/>
    <numFmt numFmtId="169" formatCode="#,##0&quot; CI,ac,al&quot;"/>
    <numFmt numFmtId="170" formatCode="#,##0&quot; CCP,ac,al&quot;"/>
    <numFmt numFmtId="171" formatCode="_-&quot;$&quot;* #,##0.00_-;\-&quot;$&quot;* #,##0.00_-;_-&quot;$&quot;* &quot;-&quot;_-;_-@_-"/>
    <numFmt numFmtId="172" formatCode="&quot;Año&quot;\ #,##0\ "/>
    <numFmt numFmtId="173" formatCode="&quot;Estado al año tarifario (i)&quot;\ #,##0"/>
    <numFmt numFmtId="174" formatCode="0.0000"/>
    <numFmt numFmtId="175" formatCode="0.000000"/>
    <numFmt numFmtId="176" formatCode="&quot;Año tarifario&quot;\ #,##0"/>
  </numFmts>
  <fonts count="37" x14ac:knownFonts="1">
    <font>
      <sz val="11"/>
      <color theme="1"/>
      <name val="Calibri"/>
      <family val="2"/>
      <scheme val="minor"/>
    </font>
    <font>
      <sz val="11"/>
      <color theme="1"/>
      <name val="Calibri"/>
      <family val="2"/>
      <scheme val="minor"/>
    </font>
    <font>
      <b/>
      <sz val="15"/>
      <color theme="3"/>
      <name val="Calibri"/>
      <family val="2"/>
      <scheme val="minor"/>
    </font>
    <font>
      <b/>
      <sz val="11"/>
      <color rgb="FF3F3F3F"/>
      <name val="Calibri"/>
      <family val="2"/>
      <scheme val="minor"/>
    </font>
    <font>
      <sz val="11"/>
      <color theme="0"/>
      <name val="Calibri"/>
      <family val="2"/>
      <scheme val="minor"/>
    </font>
    <font>
      <sz val="10"/>
      <color theme="1"/>
      <name val="Arial"/>
      <family val="2"/>
    </font>
    <font>
      <sz val="10"/>
      <color theme="0"/>
      <name val="Arial"/>
      <family val="2"/>
    </font>
    <font>
      <b/>
      <sz val="10"/>
      <color rgb="FF3F3F3F"/>
      <name val="Arial"/>
      <family val="2"/>
    </font>
    <font>
      <sz val="10"/>
      <name val="Arial"/>
      <family val="2"/>
    </font>
    <font>
      <b/>
      <sz val="8"/>
      <color rgb="FF3F3F3F"/>
      <name val="Arial"/>
      <family val="2"/>
    </font>
    <font>
      <b/>
      <sz val="10"/>
      <color theme="1"/>
      <name val="Arial"/>
      <family val="2"/>
    </font>
    <font>
      <sz val="9"/>
      <name val="Arial"/>
      <family val="2"/>
    </font>
    <font>
      <b/>
      <sz val="11"/>
      <color theme="0"/>
      <name val="Arial"/>
      <family val="2"/>
    </font>
    <font>
      <sz val="48"/>
      <color theme="0"/>
      <name val="Arial"/>
      <family val="2"/>
    </font>
    <font>
      <b/>
      <sz val="11"/>
      <color theme="0"/>
      <name val="Calibri"/>
      <family val="2"/>
      <scheme val="minor"/>
    </font>
    <font>
      <sz val="8"/>
      <color theme="1"/>
      <name val="Arial"/>
      <family val="2"/>
    </font>
    <font>
      <sz val="9"/>
      <color theme="0"/>
      <name val="Arial"/>
      <family val="2"/>
    </font>
    <font>
      <sz val="9"/>
      <color indexed="81"/>
      <name val="Tahoma"/>
      <family val="2"/>
    </font>
    <font>
      <b/>
      <sz val="9"/>
      <color indexed="81"/>
      <name val="Tahoma"/>
      <family val="2"/>
    </font>
    <font>
      <b/>
      <vertAlign val="subscript"/>
      <sz val="10"/>
      <color rgb="FF3F3F3F"/>
      <name val="Arial"/>
      <family val="2"/>
    </font>
    <font>
      <b/>
      <u/>
      <sz val="9"/>
      <name val="Segoe UI"/>
      <family val="2"/>
    </font>
    <font>
      <b/>
      <sz val="8"/>
      <name val="Arial"/>
      <family val="2"/>
    </font>
    <font>
      <sz val="8"/>
      <name val="Arial"/>
      <family val="2"/>
    </font>
    <font>
      <sz val="9"/>
      <color theme="1"/>
      <name val="Arial"/>
      <family val="2"/>
    </font>
    <font>
      <b/>
      <sz val="9"/>
      <color theme="0"/>
      <name val="Arial"/>
      <family val="2"/>
    </font>
    <font>
      <b/>
      <sz val="9"/>
      <color theme="3"/>
      <name val="Arial"/>
      <family val="2"/>
    </font>
    <font>
      <b/>
      <vertAlign val="subscript"/>
      <sz val="9"/>
      <color theme="3"/>
      <name val="Arial"/>
      <family val="2"/>
    </font>
    <font>
      <b/>
      <sz val="9"/>
      <color rgb="FF3F3F3F"/>
      <name val="Arial"/>
      <family val="2"/>
    </font>
    <font>
      <b/>
      <sz val="9"/>
      <color theme="1"/>
      <name val="Arial"/>
      <family val="2"/>
    </font>
    <font>
      <b/>
      <sz val="10"/>
      <name val="Arial"/>
      <family val="2"/>
    </font>
    <font>
      <sz val="11"/>
      <color rgb="FF3F3F76"/>
      <name val="Calibri"/>
      <family val="2"/>
      <scheme val="minor"/>
    </font>
    <font>
      <sz val="28"/>
      <color theme="0"/>
      <name val="Arial"/>
      <family val="2"/>
    </font>
    <font>
      <b/>
      <sz val="11"/>
      <color theme="1"/>
      <name val="Arial"/>
      <family val="2"/>
    </font>
    <font>
      <i/>
      <sz val="11"/>
      <color theme="1"/>
      <name val="Calibri"/>
      <family val="2"/>
      <scheme val="minor"/>
    </font>
    <font>
      <b/>
      <i/>
      <u/>
      <sz val="16"/>
      <color theme="1"/>
      <name val="Arial"/>
      <family val="2"/>
    </font>
    <font>
      <i/>
      <sz val="16"/>
      <color theme="1"/>
      <name val="Arial"/>
      <family val="2"/>
    </font>
    <font>
      <b/>
      <i/>
      <sz val="16"/>
      <color theme="1"/>
      <name val="Arial"/>
      <family val="2"/>
    </font>
  </fonts>
  <fills count="13">
    <fill>
      <patternFill patternType="none"/>
    </fill>
    <fill>
      <patternFill patternType="gray125"/>
    </fill>
    <fill>
      <patternFill patternType="solid">
        <fgColor rgb="FFF2F2F2"/>
      </patternFill>
    </fill>
    <fill>
      <patternFill patternType="solid">
        <fgColor rgb="FFFFFFCC"/>
      </patternFill>
    </fill>
    <fill>
      <patternFill patternType="solid">
        <fgColor theme="8"/>
      </patternFill>
    </fill>
    <fill>
      <patternFill patternType="solid">
        <fgColor rgb="FF002060"/>
        <bgColor indexed="64"/>
      </patternFill>
    </fill>
    <fill>
      <patternFill patternType="solid">
        <fgColor rgb="FFA5A5A5"/>
      </patternFill>
    </fill>
    <fill>
      <patternFill patternType="solid">
        <fgColor rgb="FFFFFF00"/>
        <bgColor indexed="64"/>
      </patternFill>
    </fill>
    <fill>
      <patternFill patternType="solid">
        <fgColor theme="4" tint="0.79998168889431442"/>
        <bgColor indexed="64"/>
      </patternFill>
    </fill>
    <fill>
      <patternFill patternType="solid">
        <fgColor indexed="44"/>
        <bgColor indexed="64"/>
      </patternFill>
    </fill>
    <fill>
      <patternFill patternType="solid">
        <fgColor theme="4"/>
        <bgColor theme="4"/>
      </patternFill>
    </fill>
    <fill>
      <patternFill patternType="solid">
        <fgColor rgb="FF92D050"/>
        <bgColor indexed="64"/>
      </patternFill>
    </fill>
    <fill>
      <patternFill patternType="solid">
        <fgColor rgb="FFFFCC99"/>
      </patternFill>
    </fill>
  </fills>
  <borders count="67">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3F3F3F"/>
      </right>
      <top/>
      <bottom style="thin">
        <color rgb="FF3F3F3F"/>
      </bottom>
      <diagonal/>
    </border>
    <border>
      <left style="thin">
        <color rgb="FF3F3F3F"/>
      </left>
      <right style="thin">
        <color rgb="FF3F3F3F"/>
      </right>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indexed="64"/>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top style="double">
        <color rgb="FF3F3F3F"/>
      </top>
      <bottom style="double">
        <color rgb="FF3F3F3F"/>
      </bottom>
      <diagonal/>
    </border>
    <border>
      <left style="double">
        <color rgb="FF3F3F3F"/>
      </left>
      <right/>
      <top style="double">
        <color rgb="FF3F3F3F"/>
      </top>
      <bottom/>
      <diagonal/>
    </border>
    <border>
      <left style="thin">
        <color rgb="FF3F3F3F"/>
      </left>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double">
        <color rgb="FF3F3F3F"/>
      </left>
      <right style="medium">
        <color indexed="64"/>
      </right>
      <top style="medium">
        <color indexed="64"/>
      </top>
      <bottom style="double">
        <color rgb="FF3F3F3F"/>
      </bottom>
      <diagonal/>
    </border>
    <border>
      <left style="medium">
        <color indexed="64"/>
      </left>
      <right style="medium">
        <color indexed="64"/>
      </right>
      <top style="medium">
        <color indexed="64"/>
      </top>
      <bottom style="thin">
        <color indexed="64"/>
      </bottom>
      <diagonal/>
    </border>
    <border>
      <left style="double">
        <color rgb="FF3F3F3F"/>
      </left>
      <right style="double">
        <color rgb="FF3F3F3F"/>
      </right>
      <top/>
      <bottom/>
      <diagonal/>
    </border>
    <border>
      <left style="double">
        <color rgb="FF3F3F3F"/>
      </left>
      <right style="double">
        <color rgb="FF3F3F3F"/>
      </right>
      <top/>
      <bottom style="double">
        <color rgb="FF3F3F3F"/>
      </bottom>
      <diagonal/>
    </border>
    <border>
      <left style="double">
        <color rgb="FF3F3F3F"/>
      </left>
      <right style="double">
        <color rgb="FF3F3F3F"/>
      </right>
      <top/>
      <bottom style="thin">
        <color rgb="FF3F3F3F"/>
      </bottom>
      <diagonal/>
    </border>
    <border>
      <left/>
      <right style="double">
        <color rgb="FF3F3F3F"/>
      </right>
      <top style="double">
        <color rgb="FF3F3F3F"/>
      </top>
      <bottom/>
      <diagonal/>
    </border>
    <border>
      <left style="double">
        <color rgb="FF3F3F3F"/>
      </left>
      <right/>
      <top/>
      <bottom/>
      <diagonal/>
    </border>
    <border>
      <left/>
      <right style="double">
        <color rgb="FF3F3F3F"/>
      </right>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rgb="FF3F3F3F"/>
      </bottom>
      <diagonal/>
    </border>
    <border>
      <left style="medium">
        <color indexed="64"/>
      </left>
      <right style="medium">
        <color indexed="64"/>
      </right>
      <top style="thin">
        <color rgb="FF3F3F3F"/>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thin">
        <color rgb="FFB2B2B2"/>
      </right>
      <top style="medium">
        <color rgb="FFFF0000"/>
      </top>
      <bottom style="thin">
        <color rgb="FFB2B2B2"/>
      </bottom>
      <diagonal/>
    </border>
    <border>
      <left style="thin">
        <color rgb="FFB2B2B2"/>
      </left>
      <right style="thin">
        <color rgb="FFB2B2B2"/>
      </right>
      <top style="medium">
        <color rgb="FFFF0000"/>
      </top>
      <bottom style="thin">
        <color rgb="FFB2B2B2"/>
      </bottom>
      <diagonal/>
    </border>
    <border>
      <left style="thin">
        <color rgb="FFB2B2B2"/>
      </left>
      <right style="medium">
        <color rgb="FFFF0000"/>
      </right>
      <top style="medium">
        <color rgb="FFFF0000"/>
      </top>
      <bottom style="thin">
        <color rgb="FFB2B2B2"/>
      </bottom>
      <diagonal/>
    </border>
    <border>
      <left style="medium">
        <color rgb="FFFF0000"/>
      </left>
      <right style="thin">
        <color rgb="FFB2B2B2"/>
      </right>
      <top style="thin">
        <color rgb="FFB2B2B2"/>
      </top>
      <bottom style="thin">
        <color rgb="FFB2B2B2"/>
      </bottom>
      <diagonal/>
    </border>
    <border>
      <left style="thin">
        <color rgb="FFB2B2B2"/>
      </left>
      <right style="medium">
        <color rgb="FFFF0000"/>
      </right>
      <top style="thin">
        <color rgb="FFB2B2B2"/>
      </top>
      <bottom style="thin">
        <color rgb="FFB2B2B2"/>
      </bottom>
      <diagonal/>
    </border>
    <border>
      <left style="medium">
        <color rgb="FFFF0000"/>
      </left>
      <right style="thin">
        <color rgb="FFB2B2B2"/>
      </right>
      <top style="thin">
        <color rgb="FFB2B2B2"/>
      </top>
      <bottom style="medium">
        <color rgb="FFFF0000"/>
      </bottom>
      <diagonal/>
    </border>
    <border>
      <left style="thin">
        <color rgb="FFB2B2B2"/>
      </left>
      <right style="thin">
        <color rgb="FFB2B2B2"/>
      </right>
      <top style="thin">
        <color rgb="FFB2B2B2"/>
      </top>
      <bottom style="medium">
        <color rgb="FFFF0000"/>
      </bottom>
      <diagonal/>
    </border>
    <border>
      <left style="thin">
        <color rgb="FFB2B2B2"/>
      </left>
      <right style="medium">
        <color rgb="FFFF0000"/>
      </right>
      <top style="thin">
        <color rgb="FFB2B2B2"/>
      </top>
      <bottom style="medium">
        <color rgb="FFFF0000"/>
      </bottom>
      <diagonal/>
    </border>
  </borders>
  <cellStyleXfs count="11">
    <xf numFmtId="0" fontId="0" fillId="0" borderId="0"/>
    <xf numFmtId="41"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1" fillId="3" borderId="3" applyNumberFormat="0" applyFont="0" applyAlignment="0" applyProtection="0"/>
    <xf numFmtId="0" fontId="4" fillId="4" borderId="0" applyNumberFormat="0" applyBorder="0" applyAlignment="0" applyProtection="0"/>
    <xf numFmtId="0" fontId="13" fillId="5" borderId="0">
      <alignment horizontal="left" wrapText="1"/>
    </xf>
    <xf numFmtId="0" fontId="14" fillId="6" borderId="8" applyNumberFormat="0" applyAlignment="0" applyProtection="0"/>
    <xf numFmtId="0" fontId="30" fillId="12" borderId="55" applyNumberFormat="0" applyAlignment="0" applyProtection="0"/>
  </cellStyleXfs>
  <cellXfs count="199">
    <xf numFmtId="0" fontId="0" fillId="0" borderId="0" xfId="0"/>
    <xf numFmtId="0" fontId="4" fillId="4" borderId="4" xfId="7" applyBorder="1"/>
    <xf numFmtId="0" fontId="5" fillId="0" borderId="0" xfId="0" applyFont="1"/>
    <xf numFmtId="10" fontId="7" fillId="2" borderId="4" xfId="5" applyNumberFormat="1" applyFont="1" applyBorder="1"/>
    <xf numFmtId="166" fontId="5" fillId="0" borderId="0" xfId="2" applyFont="1"/>
    <xf numFmtId="0" fontId="8" fillId="3" borderId="4" xfId="6" applyFont="1" applyBorder="1"/>
    <xf numFmtId="0" fontId="6" fillId="4" borderId="4" xfId="7" applyFont="1" applyBorder="1" applyAlignment="1">
      <alignment horizontal="center" vertical="center" wrapText="1"/>
    </xf>
    <xf numFmtId="0" fontId="5" fillId="3" borderId="4" xfId="6" applyFont="1" applyBorder="1" applyAlignment="1">
      <alignment horizontal="center" vertical="center"/>
    </xf>
    <xf numFmtId="0" fontId="7" fillId="2" borderId="4" xfId="5" applyFont="1" applyBorder="1" applyAlignment="1">
      <alignment horizontal="center" vertical="center"/>
    </xf>
    <xf numFmtId="166" fontId="7" fillId="2" borderId="4" xfId="5" applyNumberFormat="1" applyFont="1" applyBorder="1" applyAlignment="1">
      <alignment horizontal="center" vertical="center"/>
    </xf>
    <xf numFmtId="0" fontId="7" fillId="2" borderId="4" xfId="5" applyFont="1" applyBorder="1" applyAlignment="1">
      <alignment horizontal="center" vertical="center" wrapText="1"/>
    </xf>
    <xf numFmtId="166" fontId="7" fillId="2" borderId="4" xfId="2" applyFont="1" applyFill="1" applyBorder="1" applyAlignment="1">
      <alignment horizontal="center" vertical="center" wrapText="1"/>
    </xf>
    <xf numFmtId="166" fontId="7" fillId="2" borderId="4" xfId="5" applyNumberFormat="1" applyFont="1" applyBorder="1" applyAlignment="1">
      <alignment horizontal="center" vertical="center" wrapText="1"/>
    </xf>
    <xf numFmtId="0" fontId="9" fillId="2" borderId="4" xfId="5" applyFont="1" applyBorder="1" applyAlignment="1">
      <alignment horizontal="left" vertical="center" wrapText="1"/>
    </xf>
    <xf numFmtId="166" fontId="7" fillId="2" borderId="4" xfId="2" applyFont="1" applyFill="1" applyBorder="1"/>
    <xf numFmtId="0" fontId="11" fillId="3" borderId="4" xfId="6" applyFont="1" applyBorder="1" applyAlignment="1">
      <alignment wrapText="1"/>
    </xf>
    <xf numFmtId="9" fontId="6" fillId="0" borderId="0" xfId="0" applyNumberFormat="1" applyFont="1"/>
    <xf numFmtId="0" fontId="12" fillId="4" borderId="4" xfId="7" applyFont="1" applyBorder="1"/>
    <xf numFmtId="0" fontId="12" fillId="4" borderId="4" xfId="7" applyFont="1" applyBorder="1" applyAlignment="1">
      <alignment horizontal="center"/>
    </xf>
    <xf numFmtId="0" fontId="7" fillId="2" borderId="4" xfId="1" applyNumberFormat="1" applyFont="1" applyFill="1" applyBorder="1" applyAlignment="1">
      <alignment horizontal="center" vertical="center"/>
    </xf>
    <xf numFmtId="167" fontId="6" fillId="4" borderId="4" xfId="7" applyNumberFormat="1" applyFont="1" applyBorder="1" applyAlignment="1">
      <alignment horizontal="center" vertical="center" wrapText="1"/>
    </xf>
    <xf numFmtId="0" fontId="7" fillId="2" borderId="4" xfId="5" applyNumberFormat="1" applyFont="1" applyBorder="1" applyAlignment="1">
      <alignment horizontal="center" vertical="center"/>
    </xf>
    <xf numFmtId="166" fontId="5" fillId="0" borderId="4" xfId="2" applyFont="1" applyBorder="1"/>
    <xf numFmtId="168" fontId="6" fillId="4" borderId="4" xfId="7" applyNumberFormat="1" applyFont="1" applyBorder="1" applyAlignment="1">
      <alignment horizontal="center" vertical="center" wrapText="1"/>
    </xf>
    <xf numFmtId="169" fontId="6" fillId="4" borderId="4" xfId="7" applyNumberFormat="1" applyFont="1" applyBorder="1" applyAlignment="1">
      <alignment horizontal="center" vertical="center" wrapText="1"/>
    </xf>
    <xf numFmtId="0" fontId="7" fillId="2" borderId="2" xfId="5" applyFont="1" applyAlignment="1">
      <alignment horizontal="center" vertical="center"/>
    </xf>
    <xf numFmtId="0" fontId="7" fillId="3" borderId="5" xfId="6" applyFont="1" applyBorder="1" applyAlignment="1">
      <alignment horizontal="center" vertical="center"/>
    </xf>
    <xf numFmtId="41" fontId="7" fillId="2" borderId="6" xfId="5" applyNumberFormat="1" applyFont="1" applyBorder="1" applyAlignment="1">
      <alignment horizontal="center" vertical="center"/>
    </xf>
    <xf numFmtId="41" fontId="7" fillId="2" borderId="7" xfId="5" applyNumberFormat="1" applyFont="1" applyBorder="1" applyAlignment="1">
      <alignment horizontal="center" vertical="center"/>
    </xf>
    <xf numFmtId="0" fontId="6" fillId="4" borderId="4" xfId="7" applyFont="1" applyBorder="1" applyAlignment="1">
      <alignment horizontal="center" vertical="center"/>
    </xf>
    <xf numFmtId="170" fontId="6" fillId="4" borderId="4" xfId="7" applyNumberFormat="1" applyFont="1" applyBorder="1" applyAlignment="1">
      <alignment horizontal="center" vertical="center" wrapText="1"/>
    </xf>
    <xf numFmtId="41" fontId="5" fillId="0" borderId="4" xfId="0" applyNumberFormat="1" applyFont="1" applyBorder="1"/>
    <xf numFmtId="165" fontId="5" fillId="0" borderId="4" xfId="2" applyNumberFormat="1" applyFont="1" applyBorder="1"/>
    <xf numFmtId="0" fontId="2" fillId="0" borderId="1" xfId="4"/>
    <xf numFmtId="171" fontId="5" fillId="0" borderId="4" xfId="0" applyNumberFormat="1" applyFont="1" applyBorder="1" applyAlignment="1">
      <alignment horizontal="center"/>
    </xf>
    <xf numFmtId="10" fontId="3" fillId="2" borderId="4" xfId="3" applyNumberFormat="1" applyFont="1" applyFill="1" applyBorder="1"/>
    <xf numFmtId="0" fontId="15" fillId="0" borderId="0" xfId="0" applyFont="1" applyAlignment="1">
      <alignment wrapText="1"/>
    </xf>
    <xf numFmtId="173" fontId="16" fillId="4" borderId="4" xfId="7" applyNumberFormat="1" applyFont="1" applyBorder="1" applyAlignment="1">
      <alignment horizontal="center" vertical="center" wrapText="1"/>
    </xf>
    <xf numFmtId="0" fontId="6" fillId="0" borderId="0" xfId="0" applyFont="1"/>
    <xf numFmtId="0" fontId="4" fillId="4" borderId="4" xfId="7" applyBorder="1" applyAlignment="1">
      <alignment horizontal="center"/>
    </xf>
    <xf numFmtId="0" fontId="7" fillId="3" borderId="4" xfId="6" applyFont="1" applyBorder="1" applyAlignment="1">
      <alignment horizontal="center" vertical="center"/>
    </xf>
    <xf numFmtId="3" fontId="0" fillId="0" borderId="4" xfId="0" applyNumberFormat="1" applyBorder="1" applyAlignment="1">
      <alignment horizontal="center"/>
    </xf>
    <xf numFmtId="0" fontId="21" fillId="0" borderId="0" xfId="0" applyFont="1" applyAlignment="1">
      <alignment vertical="center" wrapText="1"/>
    </xf>
    <xf numFmtId="0" fontId="15" fillId="0" borderId="0" xfId="0" applyFont="1"/>
    <xf numFmtId="0" fontId="22" fillId="0" borderId="0" xfId="0" applyFont="1" applyAlignment="1">
      <alignment horizontal="center" vertical="center" wrapText="1"/>
    </xf>
    <xf numFmtId="0" fontId="21" fillId="0" borderId="0" xfId="0" applyFont="1" applyAlignment="1">
      <alignment vertical="center"/>
    </xf>
    <xf numFmtId="0" fontId="21" fillId="0" borderId="0" xfId="0" applyFont="1" applyAlignment="1">
      <alignment horizontal="center" vertical="center" wrapText="1"/>
    </xf>
    <xf numFmtId="0" fontId="22" fillId="0" borderId="0" xfId="0" applyFont="1" applyAlignment="1">
      <alignment vertical="center"/>
    </xf>
    <xf numFmtId="0" fontId="21" fillId="10" borderId="23" xfId="0" applyFont="1" applyFill="1" applyBorder="1" applyAlignment="1">
      <alignment horizontal="center" vertical="center"/>
    </xf>
    <xf numFmtId="0" fontId="21" fillId="10" borderId="30" xfId="0" applyFont="1" applyFill="1" applyBorder="1" applyAlignment="1">
      <alignment horizontal="center" vertical="center"/>
    </xf>
    <xf numFmtId="0" fontId="21" fillId="10" borderId="31" xfId="0" applyFont="1" applyFill="1" applyBorder="1" applyAlignment="1">
      <alignment horizontal="center" vertical="center"/>
    </xf>
    <xf numFmtId="0" fontId="21" fillId="10" borderId="32" xfId="0" applyFont="1" applyFill="1" applyBorder="1" applyAlignment="1">
      <alignment horizontal="center" vertical="center"/>
    </xf>
    <xf numFmtId="0" fontId="21" fillId="10" borderId="33" xfId="0" applyFont="1" applyFill="1" applyBorder="1" applyAlignment="1">
      <alignment horizontal="center" vertical="center"/>
    </xf>
    <xf numFmtId="0" fontId="21" fillId="10" borderId="34" xfId="0" applyFont="1" applyFill="1" applyBorder="1" applyAlignment="1">
      <alignment horizontal="center" vertical="center"/>
    </xf>
    <xf numFmtId="2" fontId="21" fillId="0" borderId="35" xfId="0" applyNumberFormat="1" applyFont="1" applyBorder="1" applyAlignment="1">
      <alignment vertical="center"/>
    </xf>
    <xf numFmtId="2" fontId="22" fillId="0" borderId="21" xfId="0" applyNumberFormat="1" applyFont="1" applyBorder="1" applyAlignment="1">
      <alignment vertical="center"/>
    </xf>
    <xf numFmtId="2" fontId="22" fillId="0" borderId="36" xfId="0" applyNumberFormat="1" applyFont="1" applyBorder="1" applyAlignment="1">
      <alignment vertical="center"/>
    </xf>
    <xf numFmtId="2" fontId="22" fillId="0" borderId="22" xfId="0" applyNumberFormat="1" applyFont="1" applyBorder="1" applyAlignment="1">
      <alignment vertical="center"/>
    </xf>
    <xf numFmtId="2" fontId="22" fillId="0" borderId="0" xfId="0" applyNumberFormat="1" applyFont="1" applyAlignment="1">
      <alignment vertical="center"/>
    </xf>
    <xf numFmtId="2" fontId="22" fillId="0" borderId="4" xfId="0" applyNumberFormat="1" applyFont="1" applyBorder="1" applyAlignment="1">
      <alignment vertical="center"/>
    </xf>
    <xf numFmtId="2" fontId="22" fillId="0" borderId="37" xfId="0" applyNumberFormat="1" applyFont="1" applyBorder="1" applyAlignment="1">
      <alignment vertical="center"/>
    </xf>
    <xf numFmtId="2" fontId="21" fillId="0" borderId="38" xfId="0" applyNumberFormat="1" applyFont="1" applyBorder="1" applyAlignment="1">
      <alignment vertical="center"/>
    </xf>
    <xf numFmtId="2" fontId="22" fillId="0" borderId="39" xfId="0" applyNumberFormat="1" applyFont="1" applyBorder="1" applyAlignment="1">
      <alignment vertical="center"/>
    </xf>
    <xf numFmtId="175" fontId="0" fillId="0" borderId="0" xfId="0" applyNumberFormat="1"/>
    <xf numFmtId="2" fontId="21" fillId="11" borderId="23" xfId="0" applyNumberFormat="1" applyFont="1" applyFill="1" applyBorder="1" applyAlignment="1">
      <alignment horizontal="right" vertical="center"/>
    </xf>
    <xf numFmtId="174" fontId="0" fillId="0" borderId="0" xfId="0" applyNumberFormat="1"/>
    <xf numFmtId="2" fontId="21" fillId="0" borderId="40" xfId="0" applyNumberFormat="1" applyFont="1" applyBorder="1" applyAlignment="1">
      <alignment vertical="center"/>
    </xf>
    <xf numFmtId="2" fontId="22" fillId="0" borderId="19" xfId="0" applyNumberFormat="1" applyFont="1" applyBorder="1" applyAlignment="1">
      <alignment vertical="center"/>
    </xf>
    <xf numFmtId="2" fontId="21" fillId="7" borderId="23" xfId="0" applyNumberFormat="1" applyFont="1" applyFill="1" applyBorder="1" applyAlignment="1">
      <alignment vertical="center"/>
    </xf>
    <xf numFmtId="2" fontId="21" fillId="0" borderId="0" xfId="0" applyNumberFormat="1" applyFont="1" applyAlignment="1">
      <alignment vertical="center"/>
    </xf>
    <xf numFmtId="171" fontId="23" fillId="0" borderId="4" xfId="2" applyNumberFormat="1" applyFont="1" applyBorder="1"/>
    <xf numFmtId="171" fontId="23" fillId="0" borderId="17" xfId="2" applyNumberFormat="1" applyFont="1" applyBorder="1"/>
    <xf numFmtId="0" fontId="23" fillId="0" borderId="0" xfId="0" applyFont="1"/>
    <xf numFmtId="0" fontId="23" fillId="0" borderId="0" xfId="0" applyFont="1" applyAlignment="1"/>
    <xf numFmtId="0" fontId="16" fillId="4" borderId="4" xfId="7" applyFont="1" applyBorder="1" applyAlignment="1">
      <alignment horizontal="center" vertical="center" wrapText="1"/>
    </xf>
    <xf numFmtId="172" fontId="27" fillId="2" borderId="2" xfId="5" applyNumberFormat="1" applyFont="1" applyAlignment="1">
      <alignment horizontal="center" vertical="center"/>
    </xf>
    <xf numFmtId="172" fontId="27" fillId="2" borderId="2" xfId="5" applyNumberFormat="1" applyFont="1" applyAlignment="1">
      <alignment horizontal="center" vertical="center" wrapText="1"/>
    </xf>
    <xf numFmtId="0" fontId="23" fillId="3" borderId="4" xfId="6" applyFont="1" applyBorder="1" applyAlignment="1">
      <alignment horizontal="center" vertical="center"/>
    </xf>
    <xf numFmtId="0" fontId="27" fillId="2" borderId="2" xfId="5" applyFont="1" applyAlignment="1">
      <alignment horizontal="center" vertical="center"/>
    </xf>
    <xf numFmtId="0" fontId="27" fillId="2" borderId="4" xfId="5" applyNumberFormat="1" applyFont="1" applyBorder="1" applyAlignment="1">
      <alignment horizontal="center" vertical="center"/>
    </xf>
    <xf numFmtId="166" fontId="27" fillId="2" borderId="2" xfId="5" applyNumberFormat="1" applyFont="1" applyAlignment="1">
      <alignment horizontal="center" vertical="center"/>
    </xf>
    <xf numFmtId="171" fontId="28" fillId="0" borderId="23" xfId="0" applyNumberFormat="1" applyFont="1" applyBorder="1"/>
    <xf numFmtId="176" fontId="24" fillId="6" borderId="42" xfId="9" applyNumberFormat="1" applyFont="1" applyBorder="1" applyAlignment="1">
      <alignment horizontal="center"/>
    </xf>
    <xf numFmtId="0" fontId="16" fillId="4" borderId="43" xfId="7" applyFont="1" applyBorder="1" applyAlignment="1">
      <alignment horizontal="center" vertical="center" wrapText="1"/>
    </xf>
    <xf numFmtId="0" fontId="16" fillId="4" borderId="39" xfId="7" applyFont="1" applyBorder="1"/>
    <xf numFmtId="171" fontId="23" fillId="0" borderId="39" xfId="2" applyNumberFormat="1" applyFont="1" applyBorder="1"/>
    <xf numFmtId="171" fontId="23" fillId="0" borderId="20" xfId="2" applyNumberFormat="1" applyFont="1" applyBorder="1"/>
    <xf numFmtId="0" fontId="21" fillId="2" borderId="4" xfId="5" applyFont="1" applyBorder="1" applyAlignment="1">
      <alignment horizontal="left" vertical="center" wrapText="1"/>
    </xf>
    <xf numFmtId="0" fontId="29" fillId="2" borderId="4" xfId="5" applyFont="1" applyBorder="1" applyAlignment="1">
      <alignment horizontal="center" vertical="center" wrapText="1"/>
    </xf>
    <xf numFmtId="0" fontId="9" fillId="2" borderId="2" xfId="5" quotePrefix="1" applyFont="1" applyAlignment="1">
      <alignment horizontal="center" vertical="center" wrapText="1"/>
    </xf>
    <xf numFmtId="0" fontId="3" fillId="2" borderId="2" xfId="5" applyAlignment="1">
      <alignment horizontal="center" vertical="center"/>
    </xf>
    <xf numFmtId="166" fontId="23" fillId="0" borderId="4" xfId="2" applyFont="1" applyBorder="1" applyAlignment="1">
      <alignment vertical="center"/>
    </xf>
    <xf numFmtId="166" fontId="23" fillId="0" borderId="17" xfId="2" applyFont="1" applyBorder="1" applyAlignment="1">
      <alignment vertical="center"/>
    </xf>
    <xf numFmtId="171" fontId="23" fillId="0" borderId="4" xfId="2" applyNumberFormat="1" applyFont="1" applyBorder="1" applyAlignment="1">
      <alignment vertical="center"/>
    </xf>
    <xf numFmtId="0" fontId="23" fillId="3" borderId="4" xfId="6" applyFont="1" applyBorder="1" applyAlignment="1">
      <alignment horizontal="center" vertical="center" wrapText="1"/>
    </xf>
    <xf numFmtId="0" fontId="30" fillId="12" borderId="55" xfId="10" quotePrefix="1" applyAlignment="1">
      <alignment horizontal="center" vertical="center" wrapText="1"/>
    </xf>
    <xf numFmtId="171" fontId="23" fillId="0" borderId="0" xfId="0" applyNumberFormat="1" applyFont="1"/>
    <xf numFmtId="164" fontId="23" fillId="0" borderId="0" xfId="0" applyNumberFormat="1" applyFont="1"/>
    <xf numFmtId="171" fontId="32" fillId="0" borderId="4" xfId="2" applyNumberFormat="1" applyFont="1" applyBorder="1"/>
    <xf numFmtId="172" fontId="27" fillId="2" borderId="26" xfId="5" applyNumberFormat="1" applyFont="1" applyBorder="1" applyAlignment="1">
      <alignment horizontal="center" vertical="center" wrapText="1"/>
    </xf>
    <xf numFmtId="171" fontId="32" fillId="0" borderId="17" xfId="2" applyNumberFormat="1" applyFont="1" applyBorder="1"/>
    <xf numFmtId="172" fontId="27" fillId="2" borderId="4" xfId="5" applyNumberFormat="1" applyFont="1" applyBorder="1" applyAlignment="1">
      <alignment horizontal="center" vertical="center"/>
    </xf>
    <xf numFmtId="0" fontId="5" fillId="3" borderId="4" xfId="6" applyFont="1" applyBorder="1" applyAlignment="1">
      <alignment horizontal="center" vertical="center" wrapText="1"/>
    </xf>
    <xf numFmtId="0" fontId="31" fillId="5" borderId="0" xfId="8" applyFont="1" applyAlignment="1">
      <alignment horizontal="left" vertical="center" wrapText="1"/>
    </xf>
    <xf numFmtId="0" fontId="10" fillId="3" borderId="3" xfId="6" applyFont="1" applyAlignment="1">
      <alignment horizontal="center"/>
    </xf>
    <xf numFmtId="0" fontId="5" fillId="3" borderId="4" xfId="6" applyFont="1" applyBorder="1" applyAlignment="1">
      <alignment horizontal="center"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4"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25" fillId="0" borderId="0" xfId="4" applyFont="1" applyBorder="1" applyAlignment="1">
      <alignment vertical="center" wrapText="1"/>
    </xf>
    <xf numFmtId="0" fontId="25" fillId="0" borderId="1" xfId="4" applyFont="1" applyAlignment="1">
      <alignment vertical="center" wrapText="1"/>
    </xf>
    <xf numFmtId="0" fontId="23" fillId="0" borderId="27" xfId="0" applyFont="1" applyBorder="1" applyAlignment="1">
      <alignment horizontal="center"/>
    </xf>
    <xf numFmtId="0" fontId="23" fillId="0" borderId="28" xfId="0" applyFont="1" applyBorder="1" applyAlignment="1">
      <alignment horizontal="center"/>
    </xf>
    <xf numFmtId="0" fontId="24" fillId="6" borderId="8" xfId="9" applyFont="1" applyAlignment="1">
      <alignment horizontal="center" vertical="center" wrapText="1"/>
    </xf>
    <xf numFmtId="0" fontId="24" fillId="6" borderId="18" xfId="9" applyFont="1" applyBorder="1" applyAlignment="1">
      <alignment horizontal="center" vertical="center" wrapText="1"/>
    </xf>
    <xf numFmtId="0" fontId="24" fillId="6" borderId="24" xfId="9" applyFont="1" applyBorder="1" applyAlignment="1">
      <alignment horizontal="center" vertical="center" wrapText="1"/>
    </xf>
    <xf numFmtId="0" fontId="24" fillId="6" borderId="25" xfId="9" applyFont="1" applyBorder="1" applyAlignment="1">
      <alignment horizontal="center" vertical="center" wrapText="1"/>
    </xf>
    <xf numFmtId="0" fontId="23" fillId="3" borderId="37" xfId="6" applyFont="1" applyBorder="1" applyAlignment="1">
      <alignment horizontal="center" vertical="center"/>
    </xf>
    <xf numFmtId="0" fontId="23" fillId="3" borderId="56" xfId="6" applyFont="1" applyBorder="1" applyAlignment="1">
      <alignment horizontal="center" vertical="center"/>
    </xf>
    <xf numFmtId="0" fontId="23" fillId="3" borderId="5" xfId="6" applyFont="1" applyBorder="1" applyAlignment="1">
      <alignment horizontal="center" vertical="center"/>
    </xf>
    <xf numFmtId="0" fontId="23" fillId="3" borderId="37" xfId="6" applyFont="1" applyBorder="1" applyAlignment="1">
      <alignment horizontal="center" vertical="center" wrapText="1"/>
    </xf>
    <xf numFmtId="0" fontId="23" fillId="3" borderId="56" xfId="6" applyFont="1" applyBorder="1" applyAlignment="1">
      <alignment horizontal="center" vertical="center" wrapText="1"/>
    </xf>
    <xf numFmtId="0" fontId="23" fillId="3" borderId="5" xfId="6" applyFont="1" applyBorder="1" applyAlignment="1">
      <alignment horizontal="center" vertical="center" wrapText="1"/>
    </xf>
    <xf numFmtId="0" fontId="14" fillId="6" borderId="8" xfId="9" applyAlignment="1">
      <alignment horizontal="center" vertical="center"/>
    </xf>
    <xf numFmtId="0" fontId="24" fillId="6" borderId="4" xfId="9" applyFont="1" applyBorder="1" applyAlignment="1">
      <alignment horizontal="center" vertical="center" wrapText="1"/>
    </xf>
    <xf numFmtId="0" fontId="16" fillId="4" borderId="17" xfId="7" applyFont="1" applyBorder="1" applyAlignment="1">
      <alignment horizontal="left" vertical="center" wrapText="1"/>
    </xf>
    <xf numFmtId="0" fontId="16" fillId="4" borderId="57" xfId="7" applyFont="1" applyBorder="1" applyAlignment="1">
      <alignment horizontal="left" vertical="center" wrapText="1"/>
    </xf>
    <xf numFmtId="0" fontId="16" fillId="4" borderId="58" xfId="7" applyFont="1" applyBorder="1" applyAlignment="1">
      <alignment horizontal="left" vertical="center" wrapText="1"/>
    </xf>
    <xf numFmtId="0" fontId="13" fillId="5" borderId="0" xfId="8" applyFont="1" applyAlignment="1">
      <alignment horizontal="left" vertical="center"/>
    </xf>
    <xf numFmtId="0" fontId="25" fillId="0" borderId="1" xfId="4" applyFont="1" applyAlignment="1">
      <alignment horizontal="left" vertical="center" wrapText="1"/>
    </xf>
    <xf numFmtId="0" fontId="14" fillId="6" borderId="8" xfId="9" applyAlignment="1">
      <alignment horizontal="center" vertical="center" wrapText="1"/>
    </xf>
    <xf numFmtId="0" fontId="24" fillId="6" borderId="44" xfId="9" applyFont="1" applyBorder="1" applyAlignment="1">
      <alignment horizontal="center" vertical="center" wrapText="1"/>
    </xf>
    <xf numFmtId="0" fontId="24" fillId="6" borderId="45" xfId="9" applyFont="1" applyBorder="1" applyAlignment="1">
      <alignment horizontal="center" vertical="center" wrapText="1"/>
    </xf>
    <xf numFmtId="0" fontId="24" fillId="6" borderId="25" xfId="9" applyFont="1" applyBorder="1" applyAlignment="1">
      <alignment horizontal="left" vertical="top" wrapText="1"/>
    </xf>
    <xf numFmtId="0" fontId="24" fillId="6" borderId="47" xfId="9" applyFont="1" applyBorder="1" applyAlignment="1">
      <alignment horizontal="left" vertical="top" wrapText="1"/>
    </xf>
    <xf numFmtId="0" fontId="24" fillId="6" borderId="48" xfId="9" applyFont="1" applyBorder="1" applyAlignment="1">
      <alignment horizontal="left" vertical="top" wrapText="1"/>
    </xf>
    <xf numFmtId="0" fontId="24" fillId="6" borderId="49" xfId="9" applyFont="1" applyBorder="1" applyAlignment="1">
      <alignment horizontal="left" vertical="top" wrapText="1"/>
    </xf>
    <xf numFmtId="0" fontId="24" fillId="6" borderId="50" xfId="9" applyFont="1" applyBorder="1" applyAlignment="1">
      <alignment horizontal="left" vertical="top" wrapText="1"/>
    </xf>
    <xf numFmtId="0" fontId="24" fillId="6" borderId="51" xfId="9" applyFont="1" applyBorder="1" applyAlignment="1">
      <alignment horizontal="left" vertical="top" wrapText="1"/>
    </xf>
    <xf numFmtId="0" fontId="24" fillId="6" borderId="8" xfId="9" applyFont="1" applyAlignment="1">
      <alignment horizontal="left" vertical="top" wrapText="1"/>
    </xf>
    <xf numFmtId="0" fontId="24" fillId="6" borderId="46" xfId="9" applyFont="1" applyBorder="1" applyAlignment="1">
      <alignment horizontal="center" vertical="center" wrapText="1"/>
    </xf>
    <xf numFmtId="0" fontId="24" fillId="6" borderId="8" xfId="9" applyFont="1" applyAlignment="1">
      <alignment horizontal="center" vertical="center"/>
    </xf>
    <xf numFmtId="0" fontId="16" fillId="4" borderId="41" xfId="7" applyFont="1" applyBorder="1" applyAlignment="1">
      <alignment horizontal="center" vertical="center" wrapText="1"/>
    </xf>
    <xf numFmtId="0" fontId="16" fillId="4" borderId="52" xfId="7" applyFont="1" applyBorder="1" applyAlignment="1">
      <alignment horizontal="center" vertical="center" wrapText="1"/>
    </xf>
    <xf numFmtId="0" fontId="3" fillId="2" borderId="53" xfId="5" applyBorder="1" applyAlignment="1">
      <alignment horizontal="center" vertical="center"/>
    </xf>
    <xf numFmtId="0" fontId="3" fillId="2" borderId="54" xfId="5" applyBorder="1" applyAlignment="1">
      <alignment horizontal="center" vertical="center"/>
    </xf>
    <xf numFmtId="0" fontId="21" fillId="9" borderId="27" xfId="0" applyFont="1" applyFill="1" applyBorder="1" applyAlignment="1">
      <alignment horizontal="center" vertical="center"/>
    </xf>
    <xf numFmtId="0" fontId="21" fillId="9" borderId="28" xfId="0" applyFont="1" applyFill="1" applyBorder="1" applyAlignment="1">
      <alignment horizontal="center" vertical="center"/>
    </xf>
    <xf numFmtId="0" fontId="21" fillId="9" borderId="29" xfId="0" applyFont="1" applyFill="1" applyBorder="1" applyAlignment="1">
      <alignment horizontal="center" vertical="center"/>
    </xf>
    <xf numFmtId="0" fontId="20" fillId="8" borderId="27" xfId="0" applyFont="1" applyFill="1" applyBorder="1" applyAlignment="1">
      <alignment horizontal="center" vertical="center" wrapText="1"/>
    </xf>
    <xf numFmtId="0" fontId="20" fillId="8" borderId="28"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13" fillId="5" borderId="0" xfId="8" applyAlignment="1">
      <alignment horizontal="left"/>
    </xf>
    <xf numFmtId="0" fontId="33" fillId="0" borderId="0" xfId="0" applyFont="1"/>
    <xf numFmtId="0" fontId="34" fillId="3" borderId="59" xfId="6" applyFont="1" applyBorder="1" applyAlignment="1">
      <alignment horizontal="center" vertical="center" wrapText="1"/>
    </xf>
    <xf numFmtId="0" fontId="36" fillId="3" borderId="60" xfId="6" applyFont="1" applyBorder="1" applyAlignment="1">
      <alignment horizontal="center" vertical="center" wrapText="1"/>
    </xf>
    <xf numFmtId="0" fontId="36" fillId="3" borderId="61" xfId="6" applyFont="1" applyBorder="1" applyAlignment="1">
      <alignment horizontal="center" vertical="center" wrapText="1"/>
    </xf>
    <xf numFmtId="0" fontId="36" fillId="3" borderId="62" xfId="6" applyFont="1" applyBorder="1" applyAlignment="1">
      <alignment horizontal="center" vertical="center" wrapText="1"/>
    </xf>
    <xf numFmtId="0" fontId="36" fillId="3" borderId="3" xfId="6" applyFont="1" applyBorder="1" applyAlignment="1">
      <alignment horizontal="center" vertical="center" wrapText="1"/>
    </xf>
    <xf numFmtId="0" fontId="36" fillId="3" borderId="63" xfId="6" applyFont="1" applyBorder="1" applyAlignment="1">
      <alignment horizontal="center" vertical="center" wrapText="1"/>
    </xf>
    <xf numFmtId="0" fontId="36" fillId="3" borderId="64" xfId="6" applyFont="1" applyBorder="1" applyAlignment="1">
      <alignment horizontal="center" vertical="center" wrapText="1"/>
    </xf>
    <xf numFmtId="0" fontId="36" fillId="3" borderId="65" xfId="6" applyFont="1" applyBorder="1" applyAlignment="1">
      <alignment horizontal="center" vertical="center" wrapText="1"/>
    </xf>
    <xf numFmtId="0" fontId="36" fillId="3" borderId="66" xfId="6" applyFont="1" applyBorder="1" applyAlignment="1">
      <alignment horizontal="center" vertical="center" wrapText="1"/>
    </xf>
    <xf numFmtId="0" fontId="13" fillId="5" borderId="0" xfId="8" applyAlignment="1" applyProtection="1">
      <alignment horizontal="left" vertical="center"/>
    </xf>
    <xf numFmtId="0" fontId="5" fillId="0" borderId="0" xfId="0" applyFont="1" applyProtection="1"/>
    <xf numFmtId="0" fontId="4" fillId="4" borderId="4" xfId="7" applyBorder="1" applyProtection="1"/>
    <xf numFmtId="10" fontId="3" fillId="2" borderId="4" xfId="3" applyNumberFormat="1" applyFont="1" applyFill="1" applyBorder="1" applyAlignment="1" applyProtection="1">
      <alignment horizontal="center"/>
    </xf>
    <xf numFmtId="0" fontId="2" fillId="0" borderId="1" xfId="4" applyProtection="1"/>
    <xf numFmtId="0" fontId="6" fillId="4" borderId="4" xfId="7" applyFont="1" applyBorder="1" applyAlignment="1" applyProtection="1">
      <alignment horizontal="center" vertical="center" wrapText="1"/>
    </xf>
    <xf numFmtId="167" fontId="6" fillId="4" borderId="4" xfId="7" applyNumberFormat="1" applyFont="1" applyBorder="1" applyAlignment="1" applyProtection="1">
      <alignment horizontal="center" vertical="center" wrapText="1"/>
    </xf>
    <xf numFmtId="0" fontId="5" fillId="3" borderId="37" xfId="6" applyFont="1" applyBorder="1" applyAlignment="1" applyProtection="1">
      <alignment horizontal="center" vertical="center"/>
    </xf>
    <xf numFmtId="0" fontId="5" fillId="3" borderId="37" xfId="6" applyFont="1" applyBorder="1" applyAlignment="1" applyProtection="1">
      <alignment horizontal="center" vertical="center" wrapText="1"/>
    </xf>
    <xf numFmtId="0" fontId="5" fillId="3" borderId="4" xfId="6" applyFont="1" applyBorder="1" applyAlignment="1" applyProtection="1">
      <alignment horizontal="center" vertical="center" wrapText="1"/>
    </xf>
    <xf numFmtId="0" fontId="5" fillId="3" borderId="4" xfId="6" applyFont="1" applyBorder="1" applyAlignment="1" applyProtection="1">
      <alignment horizontal="center" vertical="center"/>
    </xf>
    <xf numFmtId="0" fontId="7" fillId="2" borderId="4" xfId="5" applyFont="1" applyBorder="1" applyAlignment="1" applyProtection="1">
      <alignment horizontal="center" vertical="center"/>
    </xf>
    <xf numFmtId="166" fontId="7" fillId="2" borderId="4" xfId="5" applyNumberFormat="1" applyFont="1" applyBorder="1" applyAlignment="1" applyProtection="1">
      <alignment horizontal="center" vertical="center"/>
    </xf>
    <xf numFmtId="0" fontId="7" fillId="2" borderId="4" xfId="5" applyNumberFormat="1" applyFont="1" applyBorder="1" applyAlignment="1" applyProtection="1">
      <alignment horizontal="center" vertical="center"/>
    </xf>
    <xf numFmtId="166" fontId="5" fillId="0" borderId="4" xfId="2" applyFont="1" applyBorder="1" applyProtection="1"/>
    <xf numFmtId="0" fontId="5" fillId="3" borderId="56" xfId="6" applyFont="1" applyBorder="1" applyAlignment="1" applyProtection="1">
      <alignment horizontal="center" vertical="center"/>
    </xf>
    <xf numFmtId="0" fontId="5" fillId="3" borderId="56" xfId="6" applyFont="1" applyBorder="1" applyAlignment="1" applyProtection="1">
      <alignment horizontal="center" vertical="center" wrapText="1"/>
    </xf>
    <xf numFmtId="0" fontId="5" fillId="3" borderId="5" xfId="6" applyFont="1" applyBorder="1" applyAlignment="1" applyProtection="1">
      <alignment horizontal="center" vertical="center"/>
    </xf>
    <xf numFmtId="0" fontId="5" fillId="3" borderId="5" xfId="6" applyFont="1" applyBorder="1" applyAlignment="1" applyProtection="1">
      <alignment horizontal="center" vertical="center" wrapText="1"/>
    </xf>
    <xf numFmtId="168" fontId="6" fillId="4" borderId="4" xfId="7" applyNumberFormat="1" applyFont="1" applyBorder="1" applyAlignment="1" applyProtection="1">
      <alignment horizontal="center" vertical="center" wrapText="1"/>
    </xf>
    <xf numFmtId="0" fontId="7" fillId="2" borderId="2" xfId="5" applyFont="1" applyAlignment="1" applyProtection="1">
      <alignment horizontal="center" vertical="center"/>
    </xf>
    <xf numFmtId="166" fontId="7" fillId="2" borderId="2" xfId="5" applyNumberFormat="1" applyFont="1" applyAlignment="1" applyProtection="1">
      <alignment horizontal="center" vertical="center"/>
    </xf>
    <xf numFmtId="169" fontId="6" fillId="4" borderId="4" xfId="7" applyNumberFormat="1" applyFont="1" applyBorder="1" applyAlignment="1" applyProtection="1">
      <alignment horizontal="center" vertical="center" wrapText="1"/>
    </xf>
    <xf numFmtId="170" fontId="6" fillId="4" borderId="4" xfId="7" applyNumberFormat="1" applyFont="1" applyBorder="1" applyAlignment="1" applyProtection="1">
      <alignment horizontal="center" vertical="center" wrapText="1"/>
    </xf>
    <xf numFmtId="41" fontId="5" fillId="0" borderId="4" xfId="0" applyNumberFormat="1" applyFont="1" applyBorder="1" applyProtection="1"/>
    <xf numFmtId="171" fontId="5" fillId="0" borderId="4" xfId="0" applyNumberFormat="1" applyFont="1" applyBorder="1" applyAlignment="1" applyProtection="1">
      <alignment horizontal="center"/>
    </xf>
    <xf numFmtId="166" fontId="5" fillId="0" borderId="0" xfId="2" applyFont="1" applyProtection="1"/>
    <xf numFmtId="166" fontId="10" fillId="0" borderId="4" xfId="2" applyNumberFormat="1" applyFont="1" applyBorder="1" applyProtection="1"/>
    <xf numFmtId="0" fontId="4" fillId="4" borderId="4" xfId="7" applyBorder="1" applyAlignment="1" applyProtection="1">
      <alignment horizontal="center"/>
    </xf>
    <xf numFmtId="0" fontId="29" fillId="2" borderId="4" xfId="5" applyFont="1" applyBorder="1" applyAlignment="1" applyProtection="1">
      <alignment horizontal="center" vertical="center"/>
    </xf>
  </cellXfs>
  <cellStyles count="11">
    <cellStyle name="Celda de comprobación" xfId="9" builtinId="23"/>
    <cellStyle name="Encabezado 1" xfId="4" builtinId="16"/>
    <cellStyle name="Énfasis5" xfId="7" builtinId="45"/>
    <cellStyle name="Entrada" xfId="10" builtinId="20"/>
    <cellStyle name="Estilo 1" xfId="8" xr:uid="{00000000-0005-0000-0000-000004000000}"/>
    <cellStyle name="Millares [0]" xfId="1" builtinId="6"/>
    <cellStyle name="Moneda [0]" xfId="2" builtinId="7"/>
    <cellStyle name="Normal" xfId="0" builtinId="0"/>
    <cellStyle name="Notas" xfId="6" builtinId="10"/>
    <cellStyle name="Porcentaje" xfId="3" builtinId="5"/>
    <cellStyle name="Salida" xfId="5" builtinId="21"/>
  </cellStyles>
  <dxfs count="12">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zinetik.com/alerta-declaracion-de-la-renta/"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335703</xdr:colOff>
      <xdr:row>1</xdr:row>
      <xdr:rowOff>177376</xdr:rowOff>
    </xdr:from>
    <xdr:to>
      <xdr:col>1</xdr:col>
      <xdr:colOff>1078653</xdr:colOff>
      <xdr:row>5</xdr:row>
      <xdr:rowOff>21166</xdr:rowOff>
    </xdr:to>
    <xdr:pic>
      <xdr:nvPicPr>
        <xdr:cNvPr id="2" name="Imagen 1" descr="Resultado de imagen para comision de regulacion de agua potable y saneamiento logo">
          <a:extLst>
            <a:ext uri="{FF2B5EF4-FFF2-40B4-BE49-F238E27FC236}">
              <a16:creationId xmlns:a16="http://schemas.microsoft.com/office/drawing/2014/main" id="{F17B749D-1830-4D39-A0FC-50CB35430B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8183" y="360256"/>
          <a:ext cx="742950" cy="575310"/>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647700</xdr:colOff>
      <xdr:row>11</xdr:row>
      <xdr:rowOff>112298</xdr:rowOff>
    </xdr:from>
    <xdr:to>
      <xdr:col>2</xdr:col>
      <xdr:colOff>855345</xdr:colOff>
      <xdr:row>19</xdr:row>
      <xdr:rowOff>182879</xdr:rowOff>
    </xdr:to>
    <xdr:pic>
      <xdr:nvPicPr>
        <xdr:cNvPr id="4" name="Imagen 3">
          <a:extLst>
            <a:ext uri="{FF2B5EF4-FFF2-40B4-BE49-F238E27FC236}">
              <a16:creationId xmlns:a16="http://schemas.microsoft.com/office/drawing/2014/main" id="{BC986754-0BCD-4329-97A2-D6B316D7E3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1440180" y="2123978"/>
          <a:ext cx="1518285" cy="1533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328083</xdr:colOff>
      <xdr:row>1</xdr:row>
      <xdr:rowOff>116416</xdr:rowOff>
    </xdr:from>
    <xdr:to>
      <xdr:col>1</xdr:col>
      <xdr:colOff>1071033</xdr:colOff>
      <xdr:row>5</xdr:row>
      <xdr:rowOff>21166</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275166"/>
          <a:ext cx="742950" cy="539750"/>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328083</xdr:colOff>
      <xdr:row>2</xdr:row>
      <xdr:rowOff>21164</xdr:rowOff>
    </xdr:from>
    <xdr:to>
      <xdr:col>1</xdr:col>
      <xdr:colOff>1099608</xdr:colOff>
      <xdr:row>4</xdr:row>
      <xdr:rowOff>151339</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338664"/>
          <a:ext cx="739775" cy="447675"/>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328083</xdr:colOff>
      <xdr:row>2</xdr:row>
      <xdr:rowOff>21164</xdr:rowOff>
    </xdr:from>
    <xdr:to>
      <xdr:col>1</xdr:col>
      <xdr:colOff>1099608</xdr:colOff>
      <xdr:row>4</xdr:row>
      <xdr:rowOff>151339</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345014"/>
          <a:ext cx="742950" cy="454025"/>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328083</xdr:colOff>
      <xdr:row>2</xdr:row>
      <xdr:rowOff>21164</xdr:rowOff>
    </xdr:from>
    <xdr:to>
      <xdr:col>1</xdr:col>
      <xdr:colOff>1099608</xdr:colOff>
      <xdr:row>4</xdr:row>
      <xdr:rowOff>151339</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345014"/>
          <a:ext cx="742950" cy="454025"/>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328083</xdr:colOff>
      <xdr:row>2</xdr:row>
      <xdr:rowOff>21164</xdr:rowOff>
    </xdr:from>
    <xdr:to>
      <xdr:col>2</xdr:col>
      <xdr:colOff>2328</xdr:colOff>
      <xdr:row>4</xdr:row>
      <xdr:rowOff>94189</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345014"/>
          <a:ext cx="742950" cy="454025"/>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198120</xdr:colOff>
      <xdr:row>61</xdr:row>
      <xdr:rowOff>22860</xdr:rowOff>
    </xdr:from>
    <xdr:ext cx="982980" cy="175260"/>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500-000020000000}"/>
                </a:ext>
              </a:extLst>
            </xdr:cNvPr>
            <xdr:cNvSpPr txBox="1"/>
          </xdr:nvSpPr>
          <xdr:spPr>
            <a:xfrm>
              <a:off x="3977640" y="16436340"/>
              <a:ext cx="98298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900" i="1">
                            <a:solidFill>
                              <a:schemeClr val="bg1"/>
                            </a:solidFill>
                            <a:latin typeface="Cambria Math" panose="02040503050406030204" pitchFamily="18" charset="0"/>
                          </a:rPr>
                        </m:ctrlPr>
                      </m:sSubPr>
                      <m:e>
                        <m:r>
                          <a:rPr lang="es-CO" sz="900" b="0" i="1">
                            <a:solidFill>
                              <a:schemeClr val="bg1"/>
                            </a:solidFill>
                            <a:latin typeface="Cambria Math" panose="02040503050406030204" pitchFamily="18" charset="0"/>
                          </a:rPr>
                          <m:t>𝑃𝐼</m:t>
                        </m:r>
                        <m:r>
                          <a:rPr lang="es-CO" sz="900" b="0" i="1">
                            <a:solidFill>
                              <a:schemeClr val="bg1"/>
                            </a:solidFill>
                            <a:latin typeface="Cambria Math" panose="02040503050406030204" pitchFamily="18" charset="0"/>
                          </a:rPr>
                          <m:t>_</m:t>
                        </m:r>
                        <m:r>
                          <a:rPr lang="es-CO" sz="900" b="0" i="1">
                            <a:solidFill>
                              <a:schemeClr val="bg1"/>
                            </a:solidFill>
                            <a:latin typeface="Cambria Math" panose="02040503050406030204" pitchFamily="18" charset="0"/>
                          </a:rPr>
                          <m:t>𝐸𝑁𝐶𝐴𝑅𝐺𝑂</m:t>
                        </m:r>
                      </m:e>
                      <m:sub>
                        <m:r>
                          <a:rPr lang="es-CO" sz="900" b="0" i="1">
                            <a:solidFill>
                              <a:schemeClr val="bg1"/>
                            </a:solidFill>
                            <a:latin typeface="Cambria Math" panose="02040503050406030204" pitchFamily="18" charset="0"/>
                          </a:rPr>
                          <m:t>𝑝</m:t>
                        </m:r>
                        <m:r>
                          <a:rPr lang="es-CO" sz="900" b="0" i="1">
                            <a:solidFill>
                              <a:schemeClr val="bg1"/>
                            </a:solidFill>
                            <a:latin typeface="Cambria Math" panose="02040503050406030204" pitchFamily="18" charset="0"/>
                          </a:rPr>
                          <m:t>,</m:t>
                        </m:r>
                        <m:r>
                          <a:rPr lang="es-CO" sz="900" b="0" i="1">
                            <a:solidFill>
                              <a:schemeClr val="bg1"/>
                            </a:solidFill>
                            <a:latin typeface="Cambria Math" panose="02040503050406030204" pitchFamily="18" charset="0"/>
                          </a:rPr>
                          <m:t>𝑎𝑐</m:t>
                        </m:r>
                        <m:r>
                          <a:rPr lang="es-CO" sz="900" b="0" i="1">
                            <a:solidFill>
                              <a:schemeClr val="bg1"/>
                            </a:solidFill>
                            <a:latin typeface="Cambria Math" panose="02040503050406030204" pitchFamily="18" charset="0"/>
                          </a:rPr>
                          <m:t>/</m:t>
                        </m:r>
                        <m:r>
                          <a:rPr lang="es-CO" sz="900" b="0" i="1">
                            <a:solidFill>
                              <a:schemeClr val="bg1"/>
                            </a:solidFill>
                            <a:latin typeface="Cambria Math" panose="02040503050406030204" pitchFamily="18" charset="0"/>
                          </a:rPr>
                          <m:t>𝑎𝑙</m:t>
                        </m:r>
                      </m:sub>
                    </m:sSub>
                  </m:oMath>
                </m:oMathPara>
              </a14:m>
              <a:endParaRPr lang="es-CO" sz="900">
                <a:solidFill>
                  <a:schemeClr val="bg1"/>
                </a:solidFill>
              </a:endParaRPr>
            </a:p>
          </xdr:txBody>
        </xdr:sp>
      </mc:Choice>
      <mc:Fallback xmlns="">
        <xdr:sp macro="" textlink="">
          <xdr:nvSpPr>
            <xdr:cNvPr id="32" name="CuadroTexto 31">
              <a:extLst>
                <a:ext uri="{FF2B5EF4-FFF2-40B4-BE49-F238E27FC236}">
                  <a16:creationId xmlns:a16="http://schemas.microsoft.com/office/drawing/2014/main" id="{B9F98F6A-D10C-4438-BFC1-B6B22846A770}"/>
                </a:ext>
              </a:extLst>
            </xdr:cNvPr>
            <xdr:cNvSpPr txBox="1"/>
          </xdr:nvSpPr>
          <xdr:spPr>
            <a:xfrm>
              <a:off x="3977640" y="16436340"/>
              <a:ext cx="98298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solidFill>
                    <a:schemeClr val="bg1"/>
                  </a:solidFill>
                  <a:latin typeface="Cambria Math" panose="02040503050406030204" pitchFamily="18" charset="0"/>
                </a:rPr>
                <a:t>〖</a:t>
              </a:r>
              <a:r>
                <a:rPr lang="es-CO" sz="900" b="0" i="0">
                  <a:solidFill>
                    <a:schemeClr val="bg1"/>
                  </a:solidFill>
                  <a:latin typeface="Cambria Math" panose="02040503050406030204" pitchFamily="18" charset="0"/>
                </a:rPr>
                <a:t>𝑃𝐼_𝐸𝑁𝐶𝐴𝑅𝐺𝑂〗_(𝑝,𝑎𝑐/𝑎𝑙)</a:t>
              </a:r>
              <a:endParaRPr lang="es-CO" sz="900">
                <a:solidFill>
                  <a:schemeClr val="bg1"/>
                </a:solidFill>
              </a:endParaRPr>
            </a:p>
          </xdr:txBody>
        </xdr:sp>
      </mc:Fallback>
    </mc:AlternateContent>
    <xdr:clientData/>
  </xdr:oneCellAnchor>
  <xdr:oneCellAnchor>
    <xdr:from>
      <xdr:col>2</xdr:col>
      <xdr:colOff>274320</xdr:colOff>
      <xdr:row>60</xdr:row>
      <xdr:rowOff>121920</xdr:rowOff>
    </xdr:from>
    <xdr:ext cx="746760" cy="213360"/>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500-000021000000}"/>
                </a:ext>
              </a:extLst>
            </xdr:cNvPr>
            <xdr:cNvSpPr txBox="1"/>
          </xdr:nvSpPr>
          <xdr:spPr>
            <a:xfrm>
              <a:off x="2148840" y="16375380"/>
              <a:ext cx="746760"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 xmlns:m="http://schemas.openxmlformats.org/officeDocument/2006/math">
                  <m:sSub>
                    <m:sSubPr>
                      <m:ctrlPr>
                        <a:rPr lang="es-CO" sz="1000" i="1">
                          <a:solidFill>
                            <a:schemeClr val="bg1"/>
                          </a:solidFill>
                          <a:latin typeface="Cambria Math" panose="02040503050406030204" pitchFamily="18" charset="0"/>
                        </a:rPr>
                      </m:ctrlPr>
                    </m:sSubPr>
                    <m:e>
                      <m:r>
                        <a:rPr lang="es-CO" sz="1000" b="0" i="1">
                          <a:solidFill>
                            <a:schemeClr val="bg1"/>
                          </a:solidFill>
                          <a:latin typeface="Cambria Math" panose="02040503050406030204" pitchFamily="18" charset="0"/>
                        </a:rPr>
                        <m:t>𝑃𝐼</m:t>
                      </m:r>
                    </m:e>
                    <m:sub>
                      <m:r>
                        <a:rPr lang="es-CO" sz="1000" b="0" i="1">
                          <a:solidFill>
                            <a:schemeClr val="bg1"/>
                          </a:solidFill>
                          <a:latin typeface="Cambria Math" panose="02040503050406030204" pitchFamily="18" charset="0"/>
                        </a:rPr>
                        <m:t>𝑝</m:t>
                      </m:r>
                      <m:r>
                        <a:rPr lang="es-CO" sz="1000" b="0" i="1">
                          <a:solidFill>
                            <a:schemeClr val="bg1"/>
                          </a:solidFill>
                          <a:latin typeface="Cambria Math" panose="02040503050406030204" pitchFamily="18" charset="0"/>
                        </a:rPr>
                        <m:t>,</m:t>
                      </m:r>
                      <m:r>
                        <a:rPr lang="es-CO" sz="1000" b="0" i="1">
                          <a:solidFill>
                            <a:schemeClr val="bg1"/>
                          </a:solidFill>
                          <a:latin typeface="Cambria Math" panose="02040503050406030204" pitchFamily="18" charset="0"/>
                        </a:rPr>
                        <m:t>𝑎𝑐</m:t>
                      </m:r>
                      <m:r>
                        <a:rPr lang="es-CO" sz="1000" b="0" i="1">
                          <a:solidFill>
                            <a:schemeClr val="bg1"/>
                          </a:solidFill>
                          <a:latin typeface="Cambria Math" panose="02040503050406030204" pitchFamily="18" charset="0"/>
                        </a:rPr>
                        <m:t>/</m:t>
                      </m:r>
                      <m:r>
                        <a:rPr lang="es-CO" sz="1000" b="0" i="1">
                          <a:solidFill>
                            <a:schemeClr val="bg1"/>
                          </a:solidFill>
                          <a:latin typeface="Cambria Math" panose="02040503050406030204" pitchFamily="18" charset="0"/>
                        </a:rPr>
                        <m:t>𝑎𝑙</m:t>
                      </m:r>
                    </m:sub>
                  </m:sSub>
                </m:oMath>
              </a14:m>
              <a:r>
                <a:rPr lang="es-CO" sz="1000">
                  <a:solidFill>
                    <a:schemeClr val="bg1"/>
                  </a:solidFill>
                </a:rPr>
                <a:t> </a:t>
              </a:r>
            </a:p>
          </xdr:txBody>
        </xdr:sp>
      </mc:Choice>
      <mc:Fallback xmlns="">
        <xdr:sp macro="" textlink="">
          <xdr:nvSpPr>
            <xdr:cNvPr id="33" name="CuadroTexto 32">
              <a:extLst>
                <a:ext uri="{FF2B5EF4-FFF2-40B4-BE49-F238E27FC236}">
                  <a16:creationId xmlns:a16="http://schemas.microsoft.com/office/drawing/2014/main" id="{00000000-0008-0000-0500-000021000000}"/>
                </a:ext>
              </a:extLst>
            </xdr:cNvPr>
            <xdr:cNvSpPr txBox="1"/>
          </xdr:nvSpPr>
          <xdr:spPr>
            <a:xfrm>
              <a:off x="2148840" y="16375380"/>
              <a:ext cx="746760"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s-CO" sz="1000" i="0">
                  <a:solidFill>
                    <a:schemeClr val="bg1"/>
                  </a:solidFill>
                  <a:latin typeface="Cambria Math" panose="02040503050406030204" pitchFamily="18" charset="0"/>
                </a:rPr>
                <a:t>〖</a:t>
              </a:r>
              <a:r>
                <a:rPr lang="es-CO" sz="1000" b="0" i="0">
                  <a:solidFill>
                    <a:schemeClr val="bg1"/>
                  </a:solidFill>
                  <a:latin typeface="Cambria Math" panose="02040503050406030204" pitchFamily="18" charset="0"/>
                </a:rPr>
                <a:t>𝑃𝐼〗_(𝑝,𝑎𝑐/𝑎𝑙)</a:t>
              </a:r>
              <a:r>
                <a:rPr lang="es-CO" sz="1000">
                  <a:solidFill>
                    <a:schemeClr val="bg1"/>
                  </a:solidFill>
                </a:rPr>
                <a:t> </a:t>
              </a:r>
            </a:p>
          </xdr:txBody>
        </xdr:sp>
      </mc:Fallback>
    </mc:AlternateContent>
    <xdr:clientData/>
  </xdr:oneCellAnchor>
  <xdr:oneCellAnchor>
    <xdr:from>
      <xdr:col>1</xdr:col>
      <xdr:colOff>472440</xdr:colOff>
      <xdr:row>64</xdr:row>
      <xdr:rowOff>15240</xdr:rowOff>
    </xdr:from>
    <xdr:ext cx="1295400" cy="160020"/>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500-000022000000}"/>
                </a:ext>
              </a:extLst>
            </xdr:cNvPr>
            <xdr:cNvSpPr txBox="1"/>
          </xdr:nvSpPr>
          <xdr:spPr>
            <a:xfrm>
              <a:off x="2209800" y="13274040"/>
              <a:ext cx="1295400" cy="160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900" b="1" i="1">
                            <a:latin typeface="Cambria Math" panose="02040503050406030204" pitchFamily="18" charset="0"/>
                          </a:rPr>
                        </m:ctrlPr>
                      </m:sSubPr>
                      <m:e>
                        <m:r>
                          <a:rPr lang="es-CO" sz="900" b="1" i="1">
                            <a:latin typeface="Cambria Math" panose="02040503050406030204" pitchFamily="18" charset="0"/>
                          </a:rPr>
                          <m:t>𝑷𝑰</m:t>
                        </m:r>
                        <m:r>
                          <a:rPr lang="es-CO" sz="900" b="1" i="1">
                            <a:latin typeface="Cambria Math" panose="02040503050406030204" pitchFamily="18" charset="0"/>
                          </a:rPr>
                          <m:t>_</m:t>
                        </m:r>
                        <m:r>
                          <a:rPr lang="es-CO" sz="900" b="1" i="1">
                            <a:latin typeface="Cambria Math" panose="02040503050406030204" pitchFamily="18" charset="0"/>
                          </a:rPr>
                          <m:t>𝑬𝑵𝑪𝑨𝑹𝑮𝑶</m:t>
                        </m:r>
                      </m:e>
                      <m:sub>
                        <m:r>
                          <a:rPr lang="es-CO" sz="900" b="1" i="1">
                            <a:latin typeface="Cambria Math" panose="02040503050406030204" pitchFamily="18" charset="0"/>
                          </a:rPr>
                          <m:t>𝒑</m:t>
                        </m:r>
                        <m:r>
                          <a:rPr lang="es-CO" sz="900" b="1" i="1">
                            <a:latin typeface="Cambria Math" panose="02040503050406030204" pitchFamily="18" charset="0"/>
                          </a:rPr>
                          <m:t>,</m:t>
                        </m:r>
                        <m:r>
                          <a:rPr lang="es-CO" sz="900" b="1" i="1">
                            <a:latin typeface="Cambria Math" panose="02040503050406030204" pitchFamily="18" charset="0"/>
                          </a:rPr>
                          <m:t>𝒂𝒄</m:t>
                        </m:r>
                        <m:r>
                          <a:rPr lang="es-CO" sz="900" b="1" i="1">
                            <a:latin typeface="Cambria Math" panose="02040503050406030204" pitchFamily="18" charset="0"/>
                          </a:rPr>
                          <m:t>/</m:t>
                        </m:r>
                        <m:r>
                          <a:rPr lang="es-CO" sz="900" b="1" i="1">
                            <a:latin typeface="Cambria Math" panose="02040503050406030204" pitchFamily="18" charset="0"/>
                          </a:rPr>
                          <m:t>𝒂𝒍</m:t>
                        </m:r>
                      </m:sub>
                    </m:sSub>
                  </m:oMath>
                </m:oMathPara>
              </a14:m>
              <a:endParaRPr lang="es-CO" sz="900" b="1"/>
            </a:p>
          </xdr:txBody>
        </xdr:sp>
      </mc:Choice>
      <mc:Fallback xmlns="">
        <xdr:sp macro="" textlink="">
          <xdr:nvSpPr>
            <xdr:cNvPr id="34" name="CuadroTexto 33">
              <a:extLst>
                <a:ext uri="{FF2B5EF4-FFF2-40B4-BE49-F238E27FC236}">
                  <a16:creationId xmlns:a16="http://schemas.microsoft.com/office/drawing/2014/main" id="{E6F60F29-547D-43E2-8BD5-84A6C09A75C9}"/>
                </a:ext>
              </a:extLst>
            </xdr:cNvPr>
            <xdr:cNvSpPr txBox="1"/>
          </xdr:nvSpPr>
          <xdr:spPr>
            <a:xfrm>
              <a:off x="2209800" y="13274040"/>
              <a:ext cx="1295400" cy="160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b="1" i="0">
                  <a:latin typeface="Cambria Math" panose="02040503050406030204" pitchFamily="18" charset="0"/>
                </a:rPr>
                <a:t>〖𝑷𝑰_𝑬𝑵𝑪𝑨𝑹𝑮𝑶〗_(𝒑,𝒂𝒄/𝒂𝒍)</a:t>
              </a:r>
              <a:endParaRPr lang="es-CO" sz="900" b="1"/>
            </a:p>
          </xdr:txBody>
        </xdr:sp>
      </mc:Fallback>
    </mc:AlternateContent>
    <xdr:clientData/>
  </xdr:oneCellAnchor>
  <xdr:twoCellAnchor>
    <xdr:from>
      <xdr:col>4</xdr:col>
      <xdr:colOff>301625</xdr:colOff>
      <xdr:row>12</xdr:row>
      <xdr:rowOff>28575</xdr:rowOff>
    </xdr:from>
    <xdr:to>
      <xdr:col>7</xdr:col>
      <xdr:colOff>905106</xdr:colOff>
      <xdr:row>15</xdr:row>
      <xdr:rowOff>82062</xdr:rowOff>
    </xdr:to>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500-00001D000000}"/>
                </a:ext>
              </a:extLst>
            </xdr:cNvPr>
            <xdr:cNvSpPr txBox="1"/>
          </xdr:nvSpPr>
          <xdr:spPr>
            <a:xfrm>
              <a:off x="5147945" y="2230755"/>
              <a:ext cx="4824961" cy="503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𝐷𝐼𝐹</m:t>
                        </m:r>
                        <m:r>
                          <a:rPr lang="es-CO" sz="1100" b="0" i="1">
                            <a:latin typeface="Cambria Math" panose="02040503050406030204" pitchFamily="18" charset="0"/>
                          </a:rPr>
                          <m:t>_</m:t>
                        </m:r>
                        <m:r>
                          <a:rPr lang="es-CO" sz="1100" b="0" i="1">
                            <a:latin typeface="Cambria Math" panose="02040503050406030204" pitchFamily="18" charset="0"/>
                          </a:rPr>
                          <m:t>𝐶𝑀𝐼</m:t>
                        </m:r>
                      </m:e>
                      <m:sub>
                        <m:r>
                          <a:rPr lang="es-CO" sz="1100" b="0" i="1">
                            <a:latin typeface="Cambria Math" panose="02040503050406030204" pitchFamily="18" charset="0"/>
                          </a:rPr>
                          <m:t>𝑖</m:t>
                        </m:r>
                        <m:r>
                          <a:rPr lang="es-CO" sz="1100" b="0" i="1">
                            <a:latin typeface="Cambria Math" panose="02040503050406030204" pitchFamily="18" charset="0"/>
                          </a:rPr>
                          <m:t>.</m:t>
                        </m:r>
                        <m:r>
                          <a:rPr lang="es-CO" sz="1100" b="0" i="1">
                            <a:latin typeface="Cambria Math" panose="02040503050406030204" pitchFamily="18" charset="0"/>
                          </a:rPr>
                          <m:t>𝑗</m:t>
                        </m:r>
                        <m:r>
                          <a:rPr lang="es-CO" sz="1100" b="0" i="1">
                            <a:latin typeface="Cambria Math" panose="02040503050406030204" pitchFamily="18" charset="0"/>
                          </a:rPr>
                          <m:t>,</m:t>
                        </m:r>
                        <m:r>
                          <a:rPr lang="es-CO" sz="1100" b="0" i="1">
                            <a:latin typeface="Cambria Math" panose="02040503050406030204" pitchFamily="18" charset="0"/>
                          </a:rPr>
                          <m:t>𝑎𝑐</m:t>
                        </m:r>
                        <m:r>
                          <a:rPr lang="es-CO" sz="1100" b="0" i="1">
                            <a:latin typeface="Cambria Math" panose="02040503050406030204" pitchFamily="18" charset="0"/>
                          </a:rPr>
                          <m:t>/</m:t>
                        </m:r>
                        <m:r>
                          <a:rPr lang="es-CO" sz="1100" b="0" i="1">
                            <a:latin typeface="Cambria Math" panose="02040503050406030204" pitchFamily="18" charset="0"/>
                          </a:rPr>
                          <m:t>𝑎𝑙</m:t>
                        </m:r>
                      </m:sub>
                    </m:sSub>
                    <m:r>
                      <a:rPr lang="es-CO" sz="1100" b="0" i="0">
                        <a:latin typeface="Cambria Math" panose="02040503050406030204" pitchFamily="18" charset="0"/>
                      </a:rPr>
                      <m:t>= </m:t>
                    </m:r>
                    <m:f>
                      <m:fPr>
                        <m:ctrlPr>
                          <a:rPr lang="es-CO" sz="1100" b="0" i="1">
                            <a:latin typeface="Cambria Math" panose="02040503050406030204" pitchFamily="18" charset="0"/>
                          </a:rPr>
                        </m:ctrlPr>
                      </m:fPr>
                      <m:num>
                        <m:sSub>
                          <m:sSubPr>
                            <m:ctrlPr>
                              <a:rPr lang="es-CO" sz="1100" b="0" i="1">
                                <a:latin typeface="Cambria Math" panose="02040503050406030204" pitchFamily="18" charset="0"/>
                              </a:rPr>
                            </m:ctrlPr>
                          </m:sSubPr>
                          <m:e>
                            <m:r>
                              <a:rPr lang="es-CO" sz="1100" b="0" i="1">
                                <a:latin typeface="Cambria Math" panose="02040503050406030204" pitchFamily="18" charset="0"/>
                              </a:rPr>
                              <m:t>𝑉𝑃</m:t>
                            </m:r>
                            <m:r>
                              <a:rPr lang="es-CO" sz="1100" b="0" i="1">
                                <a:latin typeface="Cambria Math" panose="02040503050406030204" pitchFamily="18" charset="0"/>
                              </a:rPr>
                              <m:t>(</m:t>
                            </m:r>
                            <m:r>
                              <a:rPr lang="es-CO" sz="1100" b="0" i="1">
                                <a:latin typeface="Cambria Math" panose="02040503050406030204" pitchFamily="18" charset="0"/>
                              </a:rPr>
                              <m:t>𝐶𝐼</m:t>
                            </m:r>
                          </m:e>
                          <m:sub>
                            <m:sSubSup>
                              <m:sSubSupPr>
                                <m:ctrlPr>
                                  <a:rPr lang="es-CO" sz="1100" b="0" i="1">
                                    <a:latin typeface="Cambria Math" panose="02040503050406030204" pitchFamily="18" charset="0"/>
                                  </a:rPr>
                                </m:ctrlPr>
                              </m:sSubSupPr>
                              <m:e>
                                <m:r>
                                  <a:rPr lang="es-CO" sz="1100" b="0" i="1">
                                    <a:latin typeface="Cambria Math" panose="02040503050406030204" pitchFamily="18" charset="0"/>
                                  </a:rPr>
                                  <m:t>𝑃𝑂𝐼𝑅</m:t>
                                </m:r>
                              </m:e>
                              <m:sub>
                                <m:r>
                                  <a:rPr lang="es-CO" sz="1100" b="0" i="1">
                                    <a:latin typeface="Cambria Math" panose="02040503050406030204" pitchFamily="18" charset="0"/>
                                  </a:rPr>
                                  <m:t>𝑖</m:t>
                                </m:r>
                                <m:r>
                                  <a:rPr lang="es-CO" sz="1100" b="0" i="1">
                                    <a:latin typeface="Cambria Math" panose="02040503050406030204" pitchFamily="18" charset="0"/>
                                  </a:rPr>
                                  <m:t>,</m:t>
                                </m:r>
                                <m:r>
                                  <a:rPr lang="es-CO" sz="1100" b="0" i="1">
                                    <a:latin typeface="Cambria Math" panose="02040503050406030204" pitchFamily="18" charset="0"/>
                                  </a:rPr>
                                  <m:t>𝑗</m:t>
                                </m:r>
                                <m:r>
                                  <a:rPr lang="es-CO" sz="1100" b="0" i="1">
                                    <a:latin typeface="Cambria Math" panose="02040503050406030204" pitchFamily="18" charset="0"/>
                                  </a:rPr>
                                  <m:t>,</m:t>
                                </m:r>
                                <m:r>
                                  <a:rPr lang="es-CO" sz="1100" b="0" i="1">
                                    <a:latin typeface="Cambria Math" panose="02040503050406030204" pitchFamily="18" charset="0"/>
                                  </a:rPr>
                                  <m:t>𝑎𝑐</m:t>
                                </m:r>
                                <m:r>
                                  <a:rPr lang="es-CO" sz="1100" b="0" i="1">
                                    <a:latin typeface="Cambria Math" panose="02040503050406030204" pitchFamily="18" charset="0"/>
                                  </a:rPr>
                                  <m:t>/</m:t>
                                </m:r>
                                <m:r>
                                  <a:rPr lang="es-CO" sz="1100" b="0" i="1">
                                    <a:latin typeface="Cambria Math" panose="02040503050406030204" pitchFamily="18" charset="0"/>
                                  </a:rPr>
                                  <m:t>𝑎𝑙</m:t>
                                </m:r>
                              </m:sub>
                              <m:sup>
                                <m:r>
                                  <a:rPr lang="es-CO" sz="1100" b="0" i="1">
                                    <a:latin typeface="Cambria Math" panose="02040503050406030204" pitchFamily="18" charset="0"/>
                                  </a:rPr>
                                  <m:t>𝑝</m:t>
                                </m:r>
                              </m:sup>
                            </m:sSubSup>
                          </m:sub>
                        </m:sSub>
                        <m:r>
                          <a:rPr lang="es-CO" sz="1100" b="0" i="1">
                            <a:latin typeface="Cambria Math" panose="02040503050406030204" pitchFamily="18" charset="0"/>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𝑉𝑃</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𝐶𝐼</m:t>
                            </m:r>
                          </m:e>
                          <m:sub>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𝑃𝑂𝐼𝑅</m:t>
                                </m:r>
                              </m:e>
                              <m:sub>
                                <m:r>
                                  <a:rPr lang="es-CO" sz="1100" b="0" i="1">
                                    <a:solidFill>
                                      <a:schemeClr val="tx1"/>
                                    </a:solidFill>
                                    <a:effectLst/>
                                    <a:latin typeface="Cambria Math" panose="02040503050406030204" pitchFamily="18" charset="0"/>
                                    <a:ea typeface="+mn-ea"/>
                                    <a:cs typeface="+mn-cs"/>
                                  </a:rPr>
                                  <m:t>𝑖</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up>
                                <m:r>
                                  <a:rPr lang="es-CO" sz="1100" b="0" i="1">
                                    <a:solidFill>
                                      <a:schemeClr val="tx1"/>
                                    </a:solidFill>
                                    <a:effectLst/>
                                    <a:latin typeface="Cambria Math" panose="02040503050406030204" pitchFamily="18" charset="0"/>
                                    <a:ea typeface="+mn-ea"/>
                                    <a:cs typeface="+mn-cs"/>
                                  </a:rPr>
                                  <m:t>𝐸</m:t>
                                </m:r>
                              </m:sup>
                            </m:sSubSup>
                          </m:sub>
                        </m:sSub>
                        <m:r>
                          <a:rPr lang="es-CO" sz="1100" b="0" i="1">
                            <a:solidFill>
                              <a:schemeClr val="tx1"/>
                            </a:solidFill>
                            <a:effectLst/>
                            <a:latin typeface="Cambria Math" panose="02040503050406030204" pitchFamily="18" charset="0"/>
                            <a:ea typeface="+mn-ea"/>
                            <a:cs typeface="+mn-cs"/>
                          </a:rPr>
                          <m:t>)</m:t>
                        </m:r>
                      </m:num>
                      <m:den>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𝑉𝑃</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𝐶𝐶𝑃</m:t>
                            </m:r>
                          </m:e>
                          <m:sub>
                            <m:r>
                              <a:rPr lang="es-CO" sz="1100" b="0" i="1">
                                <a:solidFill>
                                  <a:schemeClr val="tx1"/>
                                </a:solidFill>
                                <a:effectLst/>
                                <a:latin typeface="Cambria Math" panose="02040503050406030204" pitchFamily="18" charset="0"/>
                                <a:ea typeface="+mn-ea"/>
                                <a:cs typeface="+mn-cs"/>
                              </a:rPr>
                              <m:t>𝑖</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m:t>
                        </m:r>
                      </m:den>
                    </m:f>
                  </m:oMath>
                </m:oMathPara>
              </a14:m>
              <a:endParaRPr lang="es-CO" sz="1100"/>
            </a:p>
          </xdr:txBody>
        </xdr:sp>
      </mc:Choice>
      <mc:Fallback xmlns="">
        <xdr:sp macro="" textlink="">
          <xdr:nvSpPr>
            <xdr:cNvPr id="29" name="CuadroTexto 28">
              <a:extLst>
                <a:ext uri="{FF2B5EF4-FFF2-40B4-BE49-F238E27FC236}">
                  <a16:creationId xmlns:a16="http://schemas.microsoft.com/office/drawing/2014/main" id="{7ED9D8A3-2D92-48C3-BEA1-417CEB87FDAB}"/>
                </a:ext>
              </a:extLst>
            </xdr:cNvPr>
            <xdr:cNvSpPr txBox="1"/>
          </xdr:nvSpPr>
          <xdr:spPr>
            <a:xfrm>
              <a:off x="5147945" y="2230755"/>
              <a:ext cx="4824961" cy="503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i="0">
                  <a:latin typeface="Cambria Math" panose="02040503050406030204" pitchFamily="18" charset="0"/>
                </a:rPr>
                <a:t>〖</a:t>
              </a:r>
              <a:r>
                <a:rPr lang="es-CO" sz="1100" b="0" i="0">
                  <a:latin typeface="Cambria Math" panose="02040503050406030204" pitchFamily="18" charset="0"/>
                </a:rPr>
                <a:t>𝐷𝐼𝐹_𝐶𝑀𝐼〗_(𝑖.𝑗,𝑎𝑐/𝑎𝑙)=  (〖𝑉𝑃(𝐶𝐼〗_(〖𝑃𝑂𝐼𝑅〗_(𝑖,𝑗,𝑎𝑐/𝑎𝑙)^𝑝 )) −</a:t>
              </a:r>
              <a:r>
                <a:rPr lang="es-CO" sz="1100" b="0" i="0">
                  <a:solidFill>
                    <a:schemeClr val="tx1"/>
                  </a:solidFill>
                  <a:effectLst/>
                  <a:latin typeface="Cambria Math" panose="02040503050406030204" pitchFamily="18" charset="0"/>
                  <a:ea typeface="+mn-ea"/>
                  <a:cs typeface="+mn-cs"/>
                </a:rPr>
                <a:t>〖𝑉𝑃(𝐶𝐼〗_(〖𝑃𝑂𝐼𝑅〗_(𝑖,𝑗,𝑎𝑐/𝑎𝑙)^𝐸 )))/(〖𝑉𝑃(𝐶𝐶𝑃〗_(𝑖,𝑗,𝑎𝑐/𝑎𝑙)))</a:t>
              </a:r>
              <a:endParaRPr lang="es-CO" sz="1100"/>
            </a:p>
          </xdr:txBody>
        </xdr:sp>
      </mc:Fallback>
    </mc:AlternateContent>
    <xdr:clientData/>
  </xdr:twoCellAnchor>
  <xdr:twoCellAnchor>
    <xdr:from>
      <xdr:col>14</xdr:col>
      <xdr:colOff>18316</xdr:colOff>
      <xdr:row>18</xdr:row>
      <xdr:rowOff>111369</xdr:rowOff>
    </xdr:from>
    <xdr:to>
      <xdr:col>14</xdr:col>
      <xdr:colOff>931983</xdr:colOff>
      <xdr:row>19</xdr:row>
      <xdr:rowOff>140677</xdr:rowOff>
    </xdr:to>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500-000029000000}"/>
                </a:ext>
              </a:extLst>
            </xdr:cNvPr>
            <xdr:cNvSpPr txBox="1"/>
          </xdr:nvSpPr>
          <xdr:spPr>
            <a:xfrm>
              <a:off x="18626356" y="3288909"/>
              <a:ext cx="913667" cy="189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900" b="0" i="1">
                            <a:solidFill>
                              <a:schemeClr val="tx1"/>
                            </a:solidFill>
                            <a:effectLst/>
                            <a:latin typeface="Cambria Math" panose="02040503050406030204" pitchFamily="18" charset="0"/>
                            <a:ea typeface="+mn-ea"/>
                            <a:cs typeface="+mn-cs"/>
                          </a:rPr>
                        </m:ctrlPr>
                      </m:sSubPr>
                      <m:e>
                        <m:r>
                          <a:rPr lang="es-CO" sz="900" b="0" i="1">
                            <a:solidFill>
                              <a:schemeClr val="tx1"/>
                            </a:solidFill>
                            <a:effectLst/>
                            <a:latin typeface="Cambria Math" panose="02040503050406030204" pitchFamily="18" charset="0"/>
                            <a:ea typeface="+mn-ea"/>
                            <a:cs typeface="+mn-cs"/>
                          </a:rPr>
                          <m:t>𝑉𝑃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𝐶𝐼</m:t>
                        </m:r>
                      </m:e>
                      <m:sub>
                        <m:sSubSup>
                          <m:sSubSupPr>
                            <m:ctrlPr>
                              <a:rPr lang="es-CO" sz="900" b="0" i="1">
                                <a:solidFill>
                                  <a:schemeClr val="tx1"/>
                                </a:solidFill>
                                <a:effectLst/>
                                <a:latin typeface="Cambria Math" panose="02040503050406030204" pitchFamily="18" charset="0"/>
                                <a:ea typeface="+mn-ea"/>
                                <a:cs typeface="+mn-cs"/>
                              </a:rPr>
                            </m:ctrlPr>
                          </m:sSubSupPr>
                          <m:e>
                            <m:r>
                              <a:rPr lang="es-CO" sz="900" b="0" i="1">
                                <a:solidFill>
                                  <a:schemeClr val="tx1"/>
                                </a:solidFill>
                                <a:effectLst/>
                                <a:latin typeface="Cambria Math" panose="02040503050406030204" pitchFamily="18" charset="0"/>
                                <a:ea typeface="+mn-ea"/>
                                <a:cs typeface="+mn-cs"/>
                              </a:rPr>
                              <m:t>𝑃𝑂𝐼𝑅</m:t>
                            </m:r>
                          </m:e>
                          <m:sub>
                            <m:r>
                              <a:rPr lang="es-CO" sz="900" b="0" i="1">
                                <a:solidFill>
                                  <a:schemeClr val="tx1"/>
                                </a:solidFill>
                                <a:effectLst/>
                                <a:latin typeface="Cambria Math" panose="02040503050406030204" pitchFamily="18" charset="0"/>
                                <a:ea typeface="+mn-ea"/>
                                <a:cs typeface="+mn-cs"/>
                              </a:rPr>
                              <m:t>𝑖</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𝑗</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𝑎𝑐</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𝑎𝑙</m:t>
                            </m:r>
                          </m:sub>
                          <m:sup>
                            <m:r>
                              <a:rPr lang="es-CO" sz="900" b="0" i="1">
                                <a:solidFill>
                                  <a:schemeClr val="tx1"/>
                                </a:solidFill>
                                <a:effectLst/>
                                <a:latin typeface="Cambria Math" panose="02040503050406030204" pitchFamily="18" charset="0"/>
                                <a:ea typeface="+mn-ea"/>
                                <a:cs typeface="+mn-cs"/>
                              </a:rPr>
                              <m:t>𝑝</m:t>
                            </m:r>
                          </m:sup>
                        </m:sSubSup>
                      </m:sub>
                    </m:sSub>
                    <m:r>
                      <a:rPr lang="es-CO" sz="900" b="0" i="1">
                        <a:solidFill>
                          <a:schemeClr val="tx1"/>
                        </a:solidFill>
                        <a:effectLst/>
                        <a:latin typeface="Cambria Math" panose="02040503050406030204" pitchFamily="18" charset="0"/>
                        <a:ea typeface="+mn-ea"/>
                        <a:cs typeface="+mn-cs"/>
                      </a:rPr>
                      <m:t>) </m:t>
                    </m:r>
                  </m:oMath>
                </m:oMathPara>
              </a14:m>
              <a:endParaRPr lang="es-CO" sz="900"/>
            </a:p>
          </xdr:txBody>
        </xdr:sp>
      </mc:Choice>
      <mc:Fallback xmlns="">
        <xdr:sp macro="" textlink="">
          <xdr:nvSpPr>
            <xdr:cNvPr id="41" name="CuadroTexto 40">
              <a:extLst>
                <a:ext uri="{FF2B5EF4-FFF2-40B4-BE49-F238E27FC236}">
                  <a16:creationId xmlns:a16="http://schemas.microsoft.com/office/drawing/2014/main" id="{8E12D716-BA18-4DAF-92C0-1DCB876E8C73}"/>
                </a:ext>
              </a:extLst>
            </xdr:cNvPr>
            <xdr:cNvSpPr txBox="1"/>
          </xdr:nvSpPr>
          <xdr:spPr>
            <a:xfrm>
              <a:off x="18626356" y="3288909"/>
              <a:ext cx="913667" cy="189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900" b="0" i="0">
                  <a:solidFill>
                    <a:schemeClr val="tx1"/>
                  </a:solidFill>
                  <a:effectLst/>
                  <a:latin typeface="Cambria Math" panose="02040503050406030204" pitchFamily="18" charset="0"/>
                  <a:ea typeface="+mn-ea"/>
                  <a:cs typeface="+mn-cs"/>
                </a:rPr>
                <a:t>〖𝑉𝑃(𝐶𝐼〗_(〖𝑃𝑂𝐼𝑅〗_(𝑖,𝑗,𝑎𝑐/𝑎𝑙)^𝑝 )) </a:t>
              </a:r>
              <a:endParaRPr lang="es-CO" sz="900"/>
            </a:p>
          </xdr:txBody>
        </xdr:sp>
      </mc:Fallback>
    </mc:AlternateContent>
    <xdr:clientData/>
  </xdr:twoCellAnchor>
  <xdr:twoCellAnchor>
    <xdr:from>
      <xdr:col>15</xdr:col>
      <xdr:colOff>975213</xdr:colOff>
      <xdr:row>18</xdr:row>
      <xdr:rowOff>115033</xdr:rowOff>
    </xdr:from>
    <xdr:to>
      <xdr:col>16</xdr:col>
      <xdr:colOff>773723</xdr:colOff>
      <xdr:row>19</xdr:row>
      <xdr:rowOff>146538</xdr:rowOff>
    </xdr:to>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500-00002A000000}"/>
                </a:ext>
              </a:extLst>
            </xdr:cNvPr>
            <xdr:cNvSpPr txBox="1"/>
          </xdr:nvSpPr>
          <xdr:spPr>
            <a:xfrm>
              <a:off x="20924373" y="3292573"/>
              <a:ext cx="1071050" cy="19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900" b="0" i="1">
                            <a:solidFill>
                              <a:schemeClr val="tx1"/>
                            </a:solidFill>
                            <a:effectLst/>
                            <a:latin typeface="Cambria Math" panose="02040503050406030204" pitchFamily="18" charset="0"/>
                            <a:ea typeface="+mn-ea"/>
                            <a:cs typeface="+mn-cs"/>
                          </a:rPr>
                        </m:ctrlPr>
                      </m:sSubPr>
                      <m:e>
                        <m:r>
                          <a:rPr lang="es-CO" sz="900" b="0" i="1">
                            <a:solidFill>
                              <a:schemeClr val="tx1"/>
                            </a:solidFill>
                            <a:effectLst/>
                            <a:latin typeface="Cambria Math" panose="02040503050406030204" pitchFamily="18" charset="0"/>
                            <a:ea typeface="+mn-ea"/>
                            <a:cs typeface="+mn-cs"/>
                          </a:rPr>
                          <m:t>𝑉𝑃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𝐶𝐼</m:t>
                        </m:r>
                      </m:e>
                      <m:sub>
                        <m:sSubSup>
                          <m:sSubSupPr>
                            <m:ctrlPr>
                              <a:rPr lang="es-CO" sz="900" b="0" i="1">
                                <a:solidFill>
                                  <a:schemeClr val="tx1"/>
                                </a:solidFill>
                                <a:effectLst/>
                                <a:latin typeface="Cambria Math" panose="02040503050406030204" pitchFamily="18" charset="0"/>
                                <a:ea typeface="+mn-ea"/>
                                <a:cs typeface="+mn-cs"/>
                              </a:rPr>
                            </m:ctrlPr>
                          </m:sSubSupPr>
                          <m:e>
                            <m:r>
                              <a:rPr lang="es-CO" sz="900" b="0" i="1">
                                <a:solidFill>
                                  <a:schemeClr val="tx1"/>
                                </a:solidFill>
                                <a:effectLst/>
                                <a:latin typeface="Cambria Math" panose="02040503050406030204" pitchFamily="18" charset="0"/>
                                <a:ea typeface="+mn-ea"/>
                                <a:cs typeface="+mn-cs"/>
                              </a:rPr>
                              <m:t>𝑃𝑂𝐼𝑅</m:t>
                            </m:r>
                          </m:e>
                          <m:sub>
                            <m:r>
                              <a:rPr lang="es-CO" sz="900" b="0" i="1">
                                <a:solidFill>
                                  <a:schemeClr val="tx1"/>
                                </a:solidFill>
                                <a:effectLst/>
                                <a:latin typeface="Cambria Math" panose="02040503050406030204" pitchFamily="18" charset="0"/>
                                <a:ea typeface="+mn-ea"/>
                                <a:cs typeface="+mn-cs"/>
                              </a:rPr>
                              <m:t>𝑖</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𝑗</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𝑎𝑐</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𝑎𝑙</m:t>
                            </m:r>
                          </m:sub>
                          <m:sup>
                            <m:r>
                              <a:rPr lang="es-CO" sz="900" b="0" i="1">
                                <a:solidFill>
                                  <a:schemeClr val="tx1"/>
                                </a:solidFill>
                                <a:effectLst/>
                                <a:latin typeface="Cambria Math" panose="02040503050406030204" pitchFamily="18" charset="0"/>
                                <a:ea typeface="+mn-ea"/>
                                <a:cs typeface="+mn-cs"/>
                              </a:rPr>
                              <m:t>𝐸</m:t>
                            </m:r>
                          </m:sup>
                        </m:sSubSup>
                      </m:sub>
                    </m:sSub>
                    <m:r>
                      <a:rPr lang="es-CO" sz="900" b="0" i="1">
                        <a:solidFill>
                          <a:schemeClr val="tx1"/>
                        </a:solidFill>
                        <a:effectLst/>
                        <a:latin typeface="Cambria Math" panose="02040503050406030204" pitchFamily="18" charset="0"/>
                        <a:ea typeface="+mn-ea"/>
                        <a:cs typeface="+mn-cs"/>
                      </a:rPr>
                      <m:t>)</m:t>
                    </m:r>
                  </m:oMath>
                </m:oMathPara>
              </a14:m>
              <a:endParaRPr lang="es-CO" sz="900"/>
            </a:p>
          </xdr:txBody>
        </xdr:sp>
      </mc:Choice>
      <mc:Fallback xmlns="">
        <xdr:sp macro="" textlink="">
          <xdr:nvSpPr>
            <xdr:cNvPr id="42" name="CuadroTexto 41">
              <a:extLst>
                <a:ext uri="{FF2B5EF4-FFF2-40B4-BE49-F238E27FC236}">
                  <a16:creationId xmlns:a16="http://schemas.microsoft.com/office/drawing/2014/main" id="{FD17F7FD-CC07-4CF0-ABA0-044F2C13D7B3}"/>
                </a:ext>
              </a:extLst>
            </xdr:cNvPr>
            <xdr:cNvSpPr txBox="1"/>
          </xdr:nvSpPr>
          <xdr:spPr>
            <a:xfrm>
              <a:off x="20924373" y="3292573"/>
              <a:ext cx="1071050" cy="19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900" b="0" i="0">
                  <a:solidFill>
                    <a:schemeClr val="tx1"/>
                  </a:solidFill>
                  <a:effectLst/>
                  <a:latin typeface="Cambria Math" panose="02040503050406030204" pitchFamily="18" charset="0"/>
                  <a:ea typeface="+mn-ea"/>
                  <a:cs typeface="+mn-cs"/>
                </a:rPr>
                <a:t>〖𝑉𝑃(𝐶𝐼〗_(〖𝑃𝑂𝐼𝑅〗_(𝑖,𝑗,𝑎𝑐/𝑎𝑙)^𝐸 ))</a:t>
              </a:r>
              <a:endParaRPr lang="es-CO" sz="900"/>
            </a:p>
          </xdr:txBody>
        </xdr:sp>
      </mc:Fallback>
    </mc:AlternateContent>
    <xdr:clientData/>
  </xdr:twoCellAnchor>
  <xdr:twoCellAnchor>
    <xdr:from>
      <xdr:col>17</xdr:col>
      <xdr:colOff>57150</xdr:colOff>
      <xdr:row>18</xdr:row>
      <xdr:rowOff>47625</xdr:rowOff>
    </xdr:from>
    <xdr:to>
      <xdr:col>17</xdr:col>
      <xdr:colOff>1068068</xdr:colOff>
      <xdr:row>19</xdr:row>
      <xdr:rowOff>25826</xdr:rowOff>
    </xdr:to>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500-00002B000000}"/>
                </a:ext>
              </a:extLst>
            </xdr:cNvPr>
            <xdr:cNvSpPr txBox="1"/>
          </xdr:nvSpPr>
          <xdr:spPr>
            <a:xfrm>
              <a:off x="22589490" y="3225165"/>
              <a:ext cx="1010918" cy="138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𝑉𝑃</m:t>
                        </m:r>
                        <m:r>
                          <a:rPr lang="es-CO" sz="1000" b="0" i="1">
                            <a:solidFill>
                              <a:schemeClr val="tx1"/>
                            </a:solidFill>
                            <a:effectLst/>
                            <a:latin typeface="Cambria Math" panose="02040503050406030204" pitchFamily="18" charset="0"/>
                            <a:ea typeface="+mn-ea"/>
                            <a:cs typeface="+mn-cs"/>
                          </a:rPr>
                          <m:t>(</m:t>
                        </m:r>
                        <m:r>
                          <a:rPr lang="es-CO" sz="1000" b="0" i="1">
                            <a:solidFill>
                              <a:schemeClr val="tx1"/>
                            </a:solidFill>
                            <a:effectLst/>
                            <a:latin typeface="Cambria Math" panose="02040503050406030204" pitchFamily="18" charset="0"/>
                            <a:ea typeface="+mn-ea"/>
                            <a:cs typeface="+mn-cs"/>
                          </a:rPr>
                          <m:t>𝐶𝐶𝑃</m:t>
                        </m:r>
                      </m:e>
                      <m:sub>
                        <m:r>
                          <a:rPr lang="es-CO" sz="1000" b="0" i="1">
                            <a:solidFill>
                              <a:schemeClr val="tx1"/>
                            </a:solidFill>
                            <a:effectLst/>
                            <a:latin typeface="Cambria Math" panose="02040503050406030204" pitchFamily="18" charset="0"/>
                            <a:ea typeface="+mn-ea"/>
                            <a:cs typeface="+mn-cs"/>
                          </a:rPr>
                          <m:t>𝑖</m:t>
                        </m:r>
                        <m:r>
                          <a:rPr lang="es-CO" sz="1000" b="0" i="1">
                            <a:solidFill>
                              <a:schemeClr val="tx1"/>
                            </a:solidFill>
                            <a:effectLst/>
                            <a:latin typeface="Cambria Math" panose="02040503050406030204" pitchFamily="18" charset="0"/>
                            <a:ea typeface="+mn-ea"/>
                            <a:cs typeface="+mn-cs"/>
                          </a:rPr>
                          <m:t>,</m:t>
                        </m:r>
                        <m:r>
                          <a:rPr lang="es-CO" sz="1000" b="0" i="1">
                            <a:solidFill>
                              <a:schemeClr val="tx1"/>
                            </a:solidFill>
                            <a:effectLst/>
                            <a:latin typeface="Cambria Math" panose="02040503050406030204" pitchFamily="18" charset="0"/>
                            <a:ea typeface="+mn-ea"/>
                            <a:cs typeface="+mn-cs"/>
                          </a:rPr>
                          <m:t>𝑗</m:t>
                        </m:r>
                        <m:r>
                          <a:rPr lang="es-CO" sz="1000" b="0" i="1">
                            <a:solidFill>
                              <a:schemeClr val="tx1"/>
                            </a:solidFill>
                            <a:effectLst/>
                            <a:latin typeface="Cambria Math" panose="02040503050406030204" pitchFamily="18" charset="0"/>
                            <a:ea typeface="+mn-ea"/>
                            <a:cs typeface="+mn-cs"/>
                          </a:rPr>
                          <m:t>,</m:t>
                        </m:r>
                        <m:r>
                          <a:rPr lang="es-CO" sz="1000" b="0" i="1">
                            <a:solidFill>
                              <a:schemeClr val="tx1"/>
                            </a:solidFill>
                            <a:effectLst/>
                            <a:latin typeface="Cambria Math" panose="02040503050406030204" pitchFamily="18" charset="0"/>
                            <a:ea typeface="+mn-ea"/>
                            <a:cs typeface="+mn-cs"/>
                          </a:rPr>
                          <m:t>𝑎𝑐</m:t>
                        </m:r>
                        <m:r>
                          <a:rPr lang="es-CO" sz="1000" b="0" i="1">
                            <a:solidFill>
                              <a:schemeClr val="tx1"/>
                            </a:solidFill>
                            <a:effectLst/>
                            <a:latin typeface="Cambria Math" panose="02040503050406030204" pitchFamily="18" charset="0"/>
                            <a:ea typeface="+mn-ea"/>
                            <a:cs typeface="+mn-cs"/>
                          </a:rPr>
                          <m:t>/</m:t>
                        </m:r>
                        <m:r>
                          <a:rPr lang="es-CO" sz="1000" b="0" i="1">
                            <a:solidFill>
                              <a:schemeClr val="tx1"/>
                            </a:solidFill>
                            <a:effectLst/>
                            <a:latin typeface="Cambria Math" panose="02040503050406030204" pitchFamily="18" charset="0"/>
                            <a:ea typeface="+mn-ea"/>
                            <a:cs typeface="+mn-cs"/>
                          </a:rPr>
                          <m:t>𝑎𝑙</m:t>
                        </m:r>
                      </m:sub>
                    </m:sSub>
                    <m:r>
                      <a:rPr lang="es-CO" sz="1000" b="0" i="1">
                        <a:solidFill>
                          <a:schemeClr val="tx1"/>
                        </a:solidFill>
                        <a:effectLst/>
                        <a:latin typeface="Cambria Math" panose="02040503050406030204" pitchFamily="18" charset="0"/>
                        <a:ea typeface="+mn-ea"/>
                        <a:cs typeface="+mn-cs"/>
                      </a:rPr>
                      <m:t>)</m:t>
                    </m:r>
                  </m:oMath>
                </m:oMathPara>
              </a14:m>
              <a:endParaRPr lang="es-CO" sz="1000"/>
            </a:p>
          </xdr:txBody>
        </xdr:sp>
      </mc:Choice>
      <mc:Fallback xmlns="">
        <xdr:sp macro="" textlink="">
          <xdr:nvSpPr>
            <xdr:cNvPr id="43" name="CuadroTexto 42">
              <a:extLst>
                <a:ext uri="{FF2B5EF4-FFF2-40B4-BE49-F238E27FC236}">
                  <a16:creationId xmlns:a16="http://schemas.microsoft.com/office/drawing/2014/main" id="{253E99A1-15C0-4283-A5A5-AEF37D96CC69}"/>
                </a:ext>
              </a:extLst>
            </xdr:cNvPr>
            <xdr:cNvSpPr txBox="1"/>
          </xdr:nvSpPr>
          <xdr:spPr>
            <a:xfrm>
              <a:off x="22589490" y="3225165"/>
              <a:ext cx="1010918" cy="138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000" b="0" i="0">
                  <a:solidFill>
                    <a:schemeClr val="tx1"/>
                  </a:solidFill>
                  <a:effectLst/>
                  <a:latin typeface="Cambria Math" panose="02040503050406030204" pitchFamily="18" charset="0"/>
                  <a:ea typeface="+mn-ea"/>
                  <a:cs typeface="+mn-cs"/>
                </a:rPr>
                <a:t>〖𝑉𝑃(𝐶𝐶𝑃〗_(𝑖,𝑗,𝑎𝑐/𝑎𝑙))</a:t>
              </a:r>
              <a:endParaRPr lang="es-CO" sz="1000"/>
            </a:p>
          </xdr:txBody>
        </xdr:sp>
      </mc:Fallback>
    </mc:AlternateContent>
    <xdr:clientData/>
  </xdr:twoCellAnchor>
  <xdr:oneCellAnchor>
    <xdr:from>
      <xdr:col>18</xdr:col>
      <xdr:colOff>57150</xdr:colOff>
      <xdr:row>18</xdr:row>
      <xdr:rowOff>57150</xdr:rowOff>
    </xdr:from>
    <xdr:ext cx="1027845" cy="184731"/>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id="{00000000-0008-0000-0500-00002C000000}"/>
                </a:ext>
              </a:extLst>
            </xdr:cNvPr>
            <xdr:cNvSpPr txBox="1"/>
          </xdr:nvSpPr>
          <xdr:spPr>
            <a:xfrm>
              <a:off x="23846790" y="3234690"/>
              <a:ext cx="102784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1.</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44" name="CuadroTexto 43">
              <a:extLst>
                <a:ext uri="{FF2B5EF4-FFF2-40B4-BE49-F238E27FC236}">
                  <a16:creationId xmlns:a16="http://schemas.microsoft.com/office/drawing/2014/main" id="{5FE2ACF6-B96D-47B6-8EF1-0CF905B1B263}"/>
                </a:ext>
              </a:extLst>
            </xdr:cNvPr>
            <xdr:cNvSpPr txBox="1"/>
          </xdr:nvSpPr>
          <xdr:spPr>
            <a:xfrm>
              <a:off x="23846790" y="3234690"/>
              <a:ext cx="102784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𝐷𝐼𝐹_𝐶𝑀𝐼〗_(1.𝑗,𝑎𝑐/𝑎𝑙)</a:t>
              </a:r>
              <a:endParaRPr lang="es-CO" sz="1100"/>
            </a:p>
          </xdr:txBody>
        </xdr:sp>
      </mc:Fallback>
    </mc:AlternateContent>
    <xdr:clientData/>
  </xdr:oneCellAnchor>
  <xdr:oneCellAnchor>
    <xdr:from>
      <xdr:col>19</xdr:col>
      <xdr:colOff>57150</xdr:colOff>
      <xdr:row>18</xdr:row>
      <xdr:rowOff>57150</xdr:rowOff>
    </xdr:from>
    <xdr:ext cx="1031115" cy="184731"/>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id="{00000000-0008-0000-0500-00002D000000}"/>
                </a:ext>
              </a:extLst>
            </xdr:cNvPr>
            <xdr:cNvSpPr txBox="1"/>
          </xdr:nvSpPr>
          <xdr:spPr>
            <a:xfrm>
              <a:off x="2510409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2.</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45" name="CuadroTexto 44">
              <a:extLst>
                <a:ext uri="{FF2B5EF4-FFF2-40B4-BE49-F238E27FC236}">
                  <a16:creationId xmlns:a16="http://schemas.microsoft.com/office/drawing/2014/main" id="{9D7E7439-D268-42B2-B941-E2B579C06449}"/>
                </a:ext>
              </a:extLst>
            </xdr:cNvPr>
            <xdr:cNvSpPr txBox="1"/>
          </xdr:nvSpPr>
          <xdr:spPr>
            <a:xfrm>
              <a:off x="2510409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𝐷𝐼𝐹_𝐶𝑀𝐼〗_(2.𝑗,𝑎𝑐/𝑎𝑙)</a:t>
              </a:r>
              <a:endParaRPr lang="es-CO" sz="1100"/>
            </a:p>
          </xdr:txBody>
        </xdr:sp>
      </mc:Fallback>
    </mc:AlternateContent>
    <xdr:clientData/>
  </xdr:oneCellAnchor>
  <xdr:oneCellAnchor>
    <xdr:from>
      <xdr:col>20</xdr:col>
      <xdr:colOff>57150</xdr:colOff>
      <xdr:row>18</xdr:row>
      <xdr:rowOff>57150</xdr:rowOff>
    </xdr:from>
    <xdr:ext cx="1031115" cy="184731"/>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a16="http://schemas.microsoft.com/office/drawing/2014/main" id="{00000000-0008-0000-0500-00002E000000}"/>
                </a:ext>
              </a:extLst>
            </xdr:cNvPr>
            <xdr:cNvSpPr txBox="1"/>
          </xdr:nvSpPr>
          <xdr:spPr>
            <a:xfrm>
              <a:off x="2638425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3.</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46" name="CuadroTexto 45">
              <a:extLst>
                <a:ext uri="{FF2B5EF4-FFF2-40B4-BE49-F238E27FC236}">
                  <a16:creationId xmlns:a16="http://schemas.microsoft.com/office/drawing/2014/main" id="{78872846-FFD5-4DAE-906F-AA76A9524983}"/>
                </a:ext>
              </a:extLst>
            </xdr:cNvPr>
            <xdr:cNvSpPr txBox="1"/>
          </xdr:nvSpPr>
          <xdr:spPr>
            <a:xfrm>
              <a:off x="2638425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𝐷𝐼𝐹_𝐶𝑀𝐼〗_(3.𝑗,𝑎𝑐/𝑎𝑙)</a:t>
              </a:r>
              <a:endParaRPr lang="es-CO" sz="1100"/>
            </a:p>
          </xdr:txBody>
        </xdr:sp>
      </mc:Fallback>
    </mc:AlternateContent>
    <xdr:clientData/>
  </xdr:oneCellAnchor>
  <xdr:oneCellAnchor>
    <xdr:from>
      <xdr:col>21</xdr:col>
      <xdr:colOff>57150</xdr:colOff>
      <xdr:row>18</xdr:row>
      <xdr:rowOff>57150</xdr:rowOff>
    </xdr:from>
    <xdr:ext cx="1031115" cy="184731"/>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2755773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47" name="CuadroTexto 46">
              <a:extLst>
                <a:ext uri="{FF2B5EF4-FFF2-40B4-BE49-F238E27FC236}">
                  <a16:creationId xmlns:a16="http://schemas.microsoft.com/office/drawing/2014/main" id="{0653390E-82D1-4300-939D-483DB95C20F9}"/>
                </a:ext>
              </a:extLst>
            </xdr:cNvPr>
            <xdr:cNvSpPr txBox="1"/>
          </xdr:nvSpPr>
          <xdr:spPr>
            <a:xfrm>
              <a:off x="27557730" y="3234690"/>
              <a:ext cx="1031115"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𝐷𝐼𝐹_𝐶𝑀𝐼〗_(4.𝑗,𝑎𝑐/𝑎𝑙)</a:t>
              </a:r>
              <a:endParaRPr lang="es-CO" sz="1100"/>
            </a:p>
          </xdr:txBody>
        </xdr:sp>
      </mc:Fallback>
    </mc:AlternateContent>
    <xdr:clientData/>
  </xdr:oneCellAnchor>
  <xdr:oneCellAnchor>
    <xdr:from>
      <xdr:col>22</xdr:col>
      <xdr:colOff>99060</xdr:colOff>
      <xdr:row>18</xdr:row>
      <xdr:rowOff>60960</xdr:rowOff>
    </xdr:from>
    <xdr:ext cx="1010020" cy="184731"/>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500-000030000000}"/>
                </a:ext>
              </a:extLst>
            </xdr:cNvPr>
            <xdr:cNvSpPr txBox="1"/>
          </xdr:nvSpPr>
          <xdr:spPr>
            <a:xfrm>
              <a:off x="28849320" y="3200400"/>
              <a:ext cx="1010020"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5.</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48" name="CuadroTexto 47">
              <a:extLst>
                <a:ext uri="{FF2B5EF4-FFF2-40B4-BE49-F238E27FC236}">
                  <a16:creationId xmlns:a16="http://schemas.microsoft.com/office/drawing/2014/main" id="{5FFAA299-8D84-4020-BFB4-D972EB882D78}"/>
                </a:ext>
              </a:extLst>
            </xdr:cNvPr>
            <xdr:cNvSpPr txBox="1"/>
          </xdr:nvSpPr>
          <xdr:spPr>
            <a:xfrm>
              <a:off x="28849320" y="3200400"/>
              <a:ext cx="1010020"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𝐷𝐼𝐹_𝐶𝑀𝐼〗_(5.𝑗,𝑎𝑐/𝑎𝑙)</a:t>
              </a:r>
              <a:endParaRPr lang="es-CO" sz="1100"/>
            </a:p>
          </xdr:txBody>
        </xdr:sp>
      </mc:Fallback>
    </mc:AlternateContent>
    <xdr:clientData/>
  </xdr:oneCellAnchor>
  <xdr:oneCellAnchor>
    <xdr:from>
      <xdr:col>7</xdr:col>
      <xdr:colOff>72390</xdr:colOff>
      <xdr:row>38</xdr:row>
      <xdr:rowOff>80010</xdr:rowOff>
    </xdr:from>
    <xdr:ext cx="1238250" cy="369140"/>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500-000032000000}"/>
                </a:ext>
              </a:extLst>
            </xdr:cNvPr>
            <xdr:cNvSpPr txBox="1"/>
          </xdr:nvSpPr>
          <xdr:spPr>
            <a:xfrm>
              <a:off x="9612630" y="1240155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1.</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𝑄</m:t>
                        </m:r>
                      </m:e>
                      <m:sub>
                        <m:r>
                          <a:rPr lang="es-CO" sz="1100" b="0" i="1">
                            <a:solidFill>
                              <a:schemeClr val="tx1"/>
                            </a:solidFill>
                            <a:effectLst/>
                            <a:latin typeface="Cambria Math" panose="02040503050406030204" pitchFamily="18" charset="0"/>
                            <a:ea typeface="+mn-ea"/>
                            <a:cs typeface="+mn-cs"/>
                          </a:rPr>
                          <m:t>1,</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50" name="CuadroTexto 49">
              <a:extLst>
                <a:ext uri="{FF2B5EF4-FFF2-40B4-BE49-F238E27FC236}">
                  <a16:creationId xmlns:a16="http://schemas.microsoft.com/office/drawing/2014/main" id="{EE65707D-33E2-4C2D-AD20-D08092F61AB4}"/>
                </a:ext>
              </a:extLst>
            </xdr:cNvPr>
            <xdr:cNvSpPr txBox="1"/>
          </xdr:nvSpPr>
          <xdr:spPr>
            <a:xfrm>
              <a:off x="9612630" y="1240155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𝐷𝐼𝐹_𝐶𝑀𝐼〗_(1.𝑗,𝑎𝑐/𝑎𝑙)∗ 𝑄_(1,𝑎𝑐/𝑎𝑙)</a:t>
              </a:r>
              <a:endParaRPr lang="es-CO" sz="1100"/>
            </a:p>
          </xdr:txBody>
        </xdr:sp>
      </mc:Fallback>
    </mc:AlternateContent>
    <xdr:clientData/>
  </xdr:oneCellAnchor>
  <xdr:oneCellAnchor>
    <xdr:from>
      <xdr:col>8</xdr:col>
      <xdr:colOff>53340</xdr:colOff>
      <xdr:row>38</xdr:row>
      <xdr:rowOff>91440</xdr:rowOff>
    </xdr:from>
    <xdr:ext cx="1238250" cy="369140"/>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id="{00000000-0008-0000-0500-000033000000}"/>
                </a:ext>
              </a:extLst>
            </xdr:cNvPr>
            <xdr:cNvSpPr txBox="1"/>
          </xdr:nvSpPr>
          <xdr:spPr>
            <a:xfrm>
              <a:off x="10934700" y="1241298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2.</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𝑄</m:t>
                        </m:r>
                      </m:e>
                      <m:sub>
                        <m:r>
                          <a:rPr lang="es-CO" sz="1100" b="0" i="1">
                            <a:solidFill>
                              <a:schemeClr val="tx1"/>
                            </a:solidFill>
                            <a:effectLst/>
                            <a:latin typeface="Cambria Math" panose="02040503050406030204" pitchFamily="18" charset="0"/>
                            <a:ea typeface="+mn-ea"/>
                            <a:cs typeface="+mn-cs"/>
                          </a:rPr>
                          <m:t>2,</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51" name="CuadroTexto 50">
              <a:extLst>
                <a:ext uri="{FF2B5EF4-FFF2-40B4-BE49-F238E27FC236}">
                  <a16:creationId xmlns:a16="http://schemas.microsoft.com/office/drawing/2014/main" id="{1C6892A2-5F78-4382-B810-4B68A231C15A}"/>
                </a:ext>
              </a:extLst>
            </xdr:cNvPr>
            <xdr:cNvSpPr txBox="1"/>
          </xdr:nvSpPr>
          <xdr:spPr>
            <a:xfrm>
              <a:off x="10934700" y="1241298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𝐷𝐼𝐹_𝐶𝑀𝐼〗_(2.𝑗,𝑎𝑐/𝑎𝑙)∗ 𝑄_(2,𝑎𝑐/𝑎𝑙)</a:t>
              </a:r>
              <a:endParaRPr lang="es-CO" sz="1100"/>
            </a:p>
          </xdr:txBody>
        </xdr:sp>
      </mc:Fallback>
    </mc:AlternateContent>
    <xdr:clientData/>
  </xdr:oneCellAnchor>
  <xdr:oneCellAnchor>
    <xdr:from>
      <xdr:col>9</xdr:col>
      <xdr:colOff>38100</xdr:colOff>
      <xdr:row>38</xdr:row>
      <xdr:rowOff>68580</xdr:rowOff>
    </xdr:from>
    <xdr:ext cx="1238250" cy="369140"/>
    <mc:AlternateContent xmlns:mc="http://schemas.openxmlformats.org/markup-compatibility/2006" xmlns:a14="http://schemas.microsoft.com/office/drawing/2010/main">
      <mc:Choice Requires="a14">
        <xdr:sp macro="" textlink="">
          <xdr:nvSpPr>
            <xdr:cNvPr id="52" name="CuadroTexto 51">
              <a:extLst>
                <a:ext uri="{FF2B5EF4-FFF2-40B4-BE49-F238E27FC236}">
                  <a16:creationId xmlns:a16="http://schemas.microsoft.com/office/drawing/2014/main" id="{00000000-0008-0000-0500-000034000000}"/>
                </a:ext>
              </a:extLst>
            </xdr:cNvPr>
            <xdr:cNvSpPr txBox="1"/>
          </xdr:nvSpPr>
          <xdr:spPr>
            <a:xfrm>
              <a:off x="12260580" y="1239012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3.</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𝑄</m:t>
                        </m:r>
                      </m:e>
                      <m:sub>
                        <m:r>
                          <a:rPr lang="es-CO" sz="1100" b="0" i="1">
                            <a:solidFill>
                              <a:schemeClr val="tx1"/>
                            </a:solidFill>
                            <a:effectLst/>
                            <a:latin typeface="Cambria Math" panose="02040503050406030204" pitchFamily="18" charset="0"/>
                            <a:ea typeface="+mn-ea"/>
                            <a:cs typeface="+mn-cs"/>
                          </a:rPr>
                          <m:t>3,</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52" name="CuadroTexto 51">
              <a:extLst>
                <a:ext uri="{FF2B5EF4-FFF2-40B4-BE49-F238E27FC236}">
                  <a16:creationId xmlns:a16="http://schemas.microsoft.com/office/drawing/2014/main" id="{09990C71-3965-4789-AB40-123DA6164062}"/>
                </a:ext>
              </a:extLst>
            </xdr:cNvPr>
            <xdr:cNvSpPr txBox="1"/>
          </xdr:nvSpPr>
          <xdr:spPr>
            <a:xfrm>
              <a:off x="12260580" y="1239012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𝐷𝐼𝐹_𝐶𝑀𝐼〗_(3.𝑗,𝑎𝑐/𝑎𝑙)∗ 𝑄_(3,𝑎𝑐/𝑎𝑙)</a:t>
              </a:r>
              <a:endParaRPr lang="es-CO" sz="1100"/>
            </a:p>
          </xdr:txBody>
        </xdr:sp>
      </mc:Fallback>
    </mc:AlternateContent>
    <xdr:clientData/>
  </xdr:oneCellAnchor>
  <xdr:oneCellAnchor>
    <xdr:from>
      <xdr:col>10</xdr:col>
      <xdr:colOff>53340</xdr:colOff>
      <xdr:row>38</xdr:row>
      <xdr:rowOff>76200</xdr:rowOff>
    </xdr:from>
    <xdr:ext cx="1238250" cy="369140"/>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500-000035000000}"/>
                </a:ext>
              </a:extLst>
            </xdr:cNvPr>
            <xdr:cNvSpPr txBox="1"/>
          </xdr:nvSpPr>
          <xdr:spPr>
            <a:xfrm>
              <a:off x="13479780" y="1239774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𝑄</m:t>
                        </m:r>
                      </m:e>
                      <m:sub>
                        <m:r>
                          <a:rPr lang="es-CO" sz="1100" b="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53" name="CuadroTexto 52">
              <a:extLst>
                <a:ext uri="{FF2B5EF4-FFF2-40B4-BE49-F238E27FC236}">
                  <a16:creationId xmlns:a16="http://schemas.microsoft.com/office/drawing/2014/main" id="{11D06D0E-F8DF-423F-9DD3-FE863B860B90}"/>
                </a:ext>
              </a:extLst>
            </xdr:cNvPr>
            <xdr:cNvSpPr txBox="1"/>
          </xdr:nvSpPr>
          <xdr:spPr>
            <a:xfrm>
              <a:off x="13479780" y="1239774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𝐷𝐼𝐹_𝐶𝑀𝐼〗_(4.𝑗,𝑎𝑐/𝑎𝑙)∗ 𝑄_(4,𝑎𝑐/𝑎𝑙)</a:t>
              </a:r>
              <a:endParaRPr lang="es-CO" sz="1100"/>
            </a:p>
          </xdr:txBody>
        </xdr:sp>
      </mc:Fallback>
    </mc:AlternateContent>
    <xdr:clientData/>
  </xdr:oneCellAnchor>
  <xdr:oneCellAnchor>
    <xdr:from>
      <xdr:col>11</xdr:col>
      <xdr:colOff>0</xdr:colOff>
      <xdr:row>38</xdr:row>
      <xdr:rowOff>68580</xdr:rowOff>
    </xdr:from>
    <xdr:ext cx="1238250" cy="369140"/>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500-000036000000}"/>
                </a:ext>
              </a:extLst>
            </xdr:cNvPr>
            <xdr:cNvSpPr txBox="1"/>
          </xdr:nvSpPr>
          <xdr:spPr>
            <a:xfrm>
              <a:off x="14767560" y="1239012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𝐷𝐼𝐹</m:t>
                        </m:r>
                        <m:r>
                          <a:rPr lang="es-CO" sz="1100" b="0" i="1">
                            <a:solidFill>
                              <a:schemeClr val="tx1"/>
                            </a:solidFill>
                            <a:effectLst/>
                            <a:latin typeface="Cambria Math" panose="02040503050406030204" pitchFamily="18" charset="0"/>
                            <a:ea typeface="+mn-ea"/>
                            <a:cs typeface="+mn-cs"/>
                          </a:rPr>
                          <m:t>_</m:t>
                        </m:r>
                        <m:r>
                          <a:rPr lang="es-CO" sz="1100" b="0" i="1">
                            <a:solidFill>
                              <a:schemeClr val="tx1"/>
                            </a:solidFill>
                            <a:effectLst/>
                            <a:latin typeface="Cambria Math" panose="02040503050406030204" pitchFamily="18" charset="0"/>
                            <a:ea typeface="+mn-ea"/>
                            <a:cs typeface="+mn-cs"/>
                          </a:rPr>
                          <m:t>𝐶𝑀𝐼</m:t>
                        </m:r>
                      </m:e>
                      <m:sub>
                        <m:r>
                          <a:rPr lang="es-CO" sz="1100" b="0" i="1">
                            <a:solidFill>
                              <a:schemeClr val="tx1"/>
                            </a:solidFill>
                            <a:effectLst/>
                            <a:latin typeface="Cambria Math" panose="02040503050406030204" pitchFamily="18" charset="0"/>
                            <a:ea typeface="+mn-ea"/>
                            <a:cs typeface="+mn-cs"/>
                          </a:rPr>
                          <m:t>5.</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r>
                      <a:rPr lang="es-CO" sz="1100" b="0" i="1">
                        <a:solidFill>
                          <a:schemeClr val="tx1"/>
                        </a:solidFill>
                        <a:effectLst/>
                        <a:latin typeface="Cambria Math" panose="02040503050406030204" pitchFamily="18" charset="0"/>
                        <a:ea typeface="+mn-ea"/>
                        <a:cs typeface="+mn-cs"/>
                      </a:rPr>
                      <m:t>∗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𝑄</m:t>
                        </m:r>
                      </m:e>
                      <m:sub>
                        <m:r>
                          <a:rPr lang="es-CO" sz="1100" b="0" i="1">
                            <a:solidFill>
                              <a:schemeClr val="tx1"/>
                            </a:solidFill>
                            <a:effectLst/>
                            <a:latin typeface="Cambria Math" panose="02040503050406030204" pitchFamily="18" charset="0"/>
                            <a:ea typeface="+mn-ea"/>
                            <a:cs typeface="+mn-cs"/>
                          </a:rPr>
                          <m:t>5,</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oMath>
                </m:oMathPara>
              </a14:m>
              <a:endParaRPr lang="es-CO" sz="1100"/>
            </a:p>
          </xdr:txBody>
        </xdr:sp>
      </mc:Choice>
      <mc:Fallback xmlns="">
        <xdr:sp macro="" textlink="">
          <xdr:nvSpPr>
            <xdr:cNvPr id="54" name="CuadroTexto 53">
              <a:extLst>
                <a:ext uri="{FF2B5EF4-FFF2-40B4-BE49-F238E27FC236}">
                  <a16:creationId xmlns:a16="http://schemas.microsoft.com/office/drawing/2014/main" id="{762AFEBE-A3F5-4B33-9295-168AEDFBC385}"/>
                </a:ext>
              </a:extLst>
            </xdr:cNvPr>
            <xdr:cNvSpPr txBox="1"/>
          </xdr:nvSpPr>
          <xdr:spPr>
            <a:xfrm>
              <a:off x="14767560" y="12390120"/>
              <a:ext cx="1238250" cy="36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𝐷𝐼𝐹_𝐶𝑀𝐼〗_(5.𝑗,𝑎𝑐/𝑎𝑙)∗ 𝑄_(5,𝑎𝑐/𝑎𝑙)</a:t>
              </a:r>
              <a:endParaRPr lang="es-CO" sz="1100"/>
            </a:p>
          </xdr:txBody>
        </xdr:sp>
      </mc:Fallback>
    </mc:AlternateContent>
    <xdr:clientData/>
  </xdr:oneCellAnchor>
  <xdr:oneCellAnchor>
    <xdr:from>
      <xdr:col>4</xdr:col>
      <xdr:colOff>647700</xdr:colOff>
      <xdr:row>55</xdr:row>
      <xdr:rowOff>30480</xdr:rowOff>
    </xdr:from>
    <xdr:ext cx="4457700" cy="563880"/>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500-000039000000}"/>
                </a:ext>
              </a:extLst>
            </xdr:cNvPr>
            <xdr:cNvSpPr txBox="1"/>
          </xdr:nvSpPr>
          <xdr:spPr>
            <a:xfrm>
              <a:off x="5966460" y="15552420"/>
              <a:ext cx="4457700" cy="563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𝑃𝐼</m:t>
                        </m:r>
                        <m:r>
                          <a:rPr lang="es-CO" sz="1100" b="0" i="1">
                            <a:latin typeface="Cambria Math" panose="02040503050406030204" pitchFamily="18" charset="0"/>
                          </a:rPr>
                          <m:t>_</m:t>
                        </m:r>
                        <m:r>
                          <a:rPr lang="es-CO" sz="1100" b="0" i="1">
                            <a:latin typeface="Cambria Math" panose="02040503050406030204" pitchFamily="18" charset="0"/>
                          </a:rPr>
                          <m:t>𝐸𝑁𝐶𝐴𝑅𝐺𝑂</m:t>
                        </m:r>
                      </m:e>
                      <m:sub>
                        <m:r>
                          <a:rPr lang="es-CO" sz="1100" b="0" i="1">
                            <a:latin typeface="Cambria Math" panose="02040503050406030204" pitchFamily="18" charset="0"/>
                          </a:rPr>
                          <m:t>𝑝</m:t>
                        </m:r>
                        <m:r>
                          <a:rPr lang="es-CO" sz="1100" b="0" i="1">
                            <a:latin typeface="Cambria Math" panose="02040503050406030204" pitchFamily="18" charset="0"/>
                          </a:rPr>
                          <m:t>,</m:t>
                        </m:r>
                        <m:r>
                          <a:rPr lang="es-CO" sz="1100" b="0" i="1">
                            <a:latin typeface="Cambria Math" panose="02040503050406030204" pitchFamily="18" charset="0"/>
                          </a:rPr>
                          <m:t>𝑎𝑐</m:t>
                        </m:r>
                        <m:r>
                          <a:rPr lang="es-CO" sz="1100" b="0" i="1">
                            <a:latin typeface="Cambria Math" panose="02040503050406030204" pitchFamily="18" charset="0"/>
                          </a:rPr>
                          <m:t>/</m:t>
                        </m:r>
                        <m:r>
                          <a:rPr lang="es-CO" sz="1100" b="0" i="1">
                            <a:latin typeface="Cambria Math" panose="02040503050406030204" pitchFamily="18" charset="0"/>
                          </a:rPr>
                          <m:t>𝑎𝑙</m:t>
                        </m:r>
                      </m:sub>
                    </m:sSub>
                    <m:r>
                      <a:rPr lang="es-CO" sz="1100" b="0" i="0">
                        <a:latin typeface="Cambria Math" panose="02040503050406030204" pitchFamily="18" charset="0"/>
                      </a:rPr>
                      <m:t>= </m:t>
                    </m:r>
                    <m:nary>
                      <m:naryPr>
                        <m:chr m:val="∑"/>
                        <m:ctrlPr>
                          <a:rPr lang="es-CO" sz="1100" b="0" i="1">
                            <a:solidFill>
                              <a:schemeClr val="tx1"/>
                            </a:solidFill>
                            <a:effectLst/>
                            <a:latin typeface="Cambria Math" panose="02040503050406030204" pitchFamily="18" charset="0"/>
                            <a:ea typeface="+mn-ea"/>
                            <a:cs typeface="+mn-cs"/>
                          </a:rPr>
                        </m:ctrlPr>
                      </m:naryPr>
                      <m:sub>
                        <m:r>
                          <m:rPr>
                            <m:brk m:alnAt="23"/>
                          </m:rP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𝑛</m:t>
                        </m:r>
                      </m:sup>
                      <m:e>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𝑃𝐼</m:t>
                            </m:r>
                          </m:e>
                          <m:sub>
                            <m:r>
                              <a:rPr lang="es-CO" sz="1100" b="0" i="1">
                                <a:solidFill>
                                  <a:schemeClr val="tx1"/>
                                </a:solidFill>
                                <a:effectLst/>
                                <a:latin typeface="Cambria Math" panose="02040503050406030204" pitchFamily="18" charset="0"/>
                                <a:ea typeface="+mn-ea"/>
                                <a:cs typeface="+mn-cs"/>
                              </a:rPr>
                              <m:t>𝑝</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𝑗</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𝑎𝑐</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𝑎𝑙</m:t>
                            </m:r>
                          </m:sub>
                        </m:sSub>
                      </m:e>
                    </m:nary>
                    <m:r>
                      <a:rPr lang="es-CO" sz="1100" b="0" i="1">
                        <a:solidFill>
                          <a:schemeClr val="tx1"/>
                        </a:solidFill>
                        <a:effectLst/>
                        <a:latin typeface="Cambria Math" panose="02040503050406030204" pitchFamily="18" charset="0"/>
                        <a:ea typeface="+mn-ea"/>
                        <a:cs typeface="+mn-cs"/>
                      </a:rPr>
                      <m:t> ∗</m:t>
                    </m:r>
                    <m:sSup>
                      <m:sSupPr>
                        <m:ctrlPr>
                          <a:rPr lang="es-CO" sz="1100" b="0" i="1">
                            <a:solidFill>
                              <a:schemeClr val="tx1"/>
                            </a:solidFill>
                            <a:effectLst/>
                            <a:latin typeface="Cambria Math" panose="02040503050406030204" pitchFamily="18" charset="0"/>
                            <a:ea typeface="+mn-ea"/>
                            <a:cs typeface="+mn-cs"/>
                          </a:rPr>
                        </m:ctrlPr>
                      </m:sSupPr>
                      <m:e>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1++</m:t>
                            </m:r>
                            <m:r>
                              <a:rPr lang="es-CO" sz="1100" b="0" i="1">
                                <a:solidFill>
                                  <a:schemeClr val="tx1"/>
                                </a:solidFill>
                                <a:effectLst/>
                                <a:latin typeface="Cambria Math" panose="02040503050406030204" pitchFamily="18" charset="0"/>
                                <a:ea typeface="+mn-ea"/>
                                <a:cs typeface="+mn-cs"/>
                              </a:rPr>
                              <m:t>𝑟</m:t>
                            </m:r>
                          </m:e>
                        </m:d>
                      </m:e>
                      <m:sup>
                        <m:r>
                          <a:rPr lang="es-CO" sz="1100" b="0" i="1">
                            <a:solidFill>
                              <a:schemeClr val="tx1"/>
                            </a:solidFill>
                            <a:effectLst/>
                            <a:latin typeface="Cambria Math" panose="02040503050406030204" pitchFamily="18" charset="0"/>
                            <a:ea typeface="+mn-ea"/>
                            <a:cs typeface="+mn-cs"/>
                          </a:rPr>
                          <m:t>𝑝</m:t>
                        </m:r>
                      </m:sup>
                    </m:sSup>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𝐼𝑛𝑑𝑒𝑥</m:t>
                    </m:r>
                  </m:oMath>
                </m:oMathPara>
              </a14:m>
              <a:endParaRPr lang="es-CO" sz="1100"/>
            </a:p>
          </xdr:txBody>
        </xdr:sp>
      </mc:Choice>
      <mc:Fallback xmlns="">
        <xdr:sp macro="" textlink="">
          <xdr:nvSpPr>
            <xdr:cNvPr id="57" name="CuadroTexto 56">
              <a:extLst>
                <a:ext uri="{FF2B5EF4-FFF2-40B4-BE49-F238E27FC236}">
                  <a16:creationId xmlns:a16="http://schemas.microsoft.com/office/drawing/2014/main" id="{4DACA5E6-38E5-458E-B836-AF037C536DE4}"/>
                </a:ext>
              </a:extLst>
            </xdr:cNvPr>
            <xdr:cNvSpPr txBox="1"/>
          </xdr:nvSpPr>
          <xdr:spPr>
            <a:xfrm>
              <a:off x="5966460" y="15552420"/>
              <a:ext cx="4457700" cy="563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i="0">
                  <a:latin typeface="Cambria Math" panose="02040503050406030204" pitchFamily="18" charset="0"/>
                </a:rPr>
                <a:t>〖</a:t>
              </a:r>
              <a:r>
                <a:rPr lang="es-CO" sz="1100" b="0" i="0">
                  <a:latin typeface="Cambria Math" panose="02040503050406030204" pitchFamily="18" charset="0"/>
                </a:rPr>
                <a:t>𝑃𝐼_𝐸𝑁𝐶𝐴𝑅𝐺𝑂〗_(𝑝,𝑎𝑐/𝑎𝑙)= </a:t>
              </a:r>
              <a:r>
                <a:rPr lang="es-CO" sz="1100" b="0" i="0">
                  <a:solidFill>
                    <a:schemeClr val="tx1"/>
                  </a:solidFill>
                  <a:effectLst/>
                  <a:latin typeface="+mn-lt"/>
                  <a:ea typeface="+mn-ea"/>
                  <a:cs typeface="+mn-cs"/>
                </a:rPr>
                <a:t>∑_(𝑗=1)^𝑛▒〖𝑃𝐼〗_(𝑝,𝑗,𝑎𝑐/𝑎𝑙)   ∗(1++𝑟)^𝑝∗𝐼𝑛𝑑𝑒𝑥</a:t>
              </a:r>
              <a:endParaRPr lang="es-CO" sz="1100"/>
            </a:p>
          </xdr:txBody>
        </xdr:sp>
      </mc:Fallback>
    </mc:AlternateContent>
    <xdr:clientData/>
  </xdr:oneCellAnchor>
  <xdr:twoCellAnchor>
    <xdr:from>
      <xdr:col>4</xdr:col>
      <xdr:colOff>901701</xdr:colOff>
      <xdr:row>33</xdr:row>
      <xdr:rowOff>69850</xdr:rowOff>
    </xdr:from>
    <xdr:to>
      <xdr:col>6</xdr:col>
      <xdr:colOff>768351</xdr:colOff>
      <xdr:row>36</xdr:row>
      <xdr:rowOff>80433</xdr:rowOff>
    </xdr:to>
    <xdr:pic>
      <xdr:nvPicPr>
        <xdr:cNvPr id="24" name="Imagen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24601" y="11722100"/>
          <a:ext cx="2800350" cy="48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3175</xdr:colOff>
      <xdr:row>47</xdr:row>
      <xdr:rowOff>9525</xdr:rowOff>
    </xdr:from>
    <xdr:to>
      <xdr:col>2</xdr:col>
      <xdr:colOff>1396079</xdr:colOff>
      <xdr:row>47</xdr:row>
      <xdr:rowOff>250825</xdr:rowOff>
    </xdr:to>
    <xdr:pic>
      <xdr:nvPicPr>
        <xdr:cNvPr id="31" name="Imagen 30">
          <a:extLst>
            <a:ext uri="{FF2B5EF4-FFF2-40B4-BE49-F238E27FC236}">
              <a16:creationId xmlns:a16="http://schemas.microsoft.com/office/drawing/2014/main" id="{AE4F66B0-871E-46E6-9202-E1D03175C54A}"/>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2450" y="15411450"/>
          <a:ext cx="1392904" cy="241300"/>
        </a:xfrm>
        <a:prstGeom prst="rect">
          <a:avLst/>
        </a:prstGeom>
        <a:solidFill>
          <a:schemeClr val="bg1"/>
        </a:solidFill>
      </xdr:spPr>
    </xdr:pic>
    <xdr:clientData/>
  </xdr:twoCellAnchor>
  <xdr:twoCellAnchor>
    <xdr:from>
      <xdr:col>1</xdr:col>
      <xdr:colOff>1031875</xdr:colOff>
      <xdr:row>50</xdr:row>
      <xdr:rowOff>9525</xdr:rowOff>
    </xdr:from>
    <xdr:to>
      <xdr:col>2</xdr:col>
      <xdr:colOff>1329404</xdr:colOff>
      <xdr:row>50</xdr:row>
      <xdr:rowOff>250825</xdr:rowOff>
    </xdr:to>
    <xdr:pic>
      <xdr:nvPicPr>
        <xdr:cNvPr id="25" name="Imagen 24">
          <a:extLst>
            <a:ext uri="{FF2B5EF4-FFF2-40B4-BE49-F238E27FC236}">
              <a16:creationId xmlns:a16="http://schemas.microsoft.com/office/drawing/2014/main" id="{06091416-4A28-454C-B9CD-13F9FBD6F467}"/>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55775" y="15411450"/>
          <a:ext cx="1392904" cy="241300"/>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328083</xdr:colOff>
      <xdr:row>2</xdr:row>
      <xdr:rowOff>21164</xdr:rowOff>
    </xdr:from>
    <xdr:to>
      <xdr:col>2</xdr:col>
      <xdr:colOff>147108</xdr:colOff>
      <xdr:row>4</xdr:row>
      <xdr:rowOff>151339</xdr:rowOff>
    </xdr:to>
    <xdr:pic>
      <xdr:nvPicPr>
        <xdr:cNvPr id="2" name="Imagen 1" descr="Resultado de imagen para comision de regulacion de agua potable y saneamiento 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083" y="345014"/>
          <a:ext cx="742950" cy="454025"/>
        </a:xfrm>
        <a:prstGeom prst="rect">
          <a:avLst/>
        </a:prstGeom>
        <a:noFill/>
        <a:ln w="38100">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A/INDICES%20DE%20ACTUALIZACION/IPC/2020/Hoja%20de%20Calculo%20&#237;nd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 Base"/>
      <sheetName val="Índices de Actualización"/>
      <sheetName val="Resumen Índ.yVar.ACAL&lt;5.000"/>
      <sheetName val="Resumen Índ.yVar.ACAL&gt;5.000"/>
    </sheetNames>
    <sheetDataSet>
      <sheetData sheetId="0">
        <row r="11">
          <cell r="M11">
            <v>79.95</v>
          </cell>
          <cell r="N11">
            <v>83</v>
          </cell>
          <cell r="O11">
            <v>89.19</v>
          </cell>
          <cell r="P11">
            <v>94.07</v>
          </cell>
          <cell r="Q11">
            <v>97.53</v>
          </cell>
          <cell r="R11">
            <v>100.6</v>
          </cell>
          <cell r="S11">
            <v>104.24</v>
          </cell>
        </row>
        <row r="12">
          <cell r="M12">
            <v>80.45</v>
          </cell>
          <cell r="N12">
            <v>83.96</v>
          </cell>
          <cell r="O12">
            <v>90.33</v>
          </cell>
          <cell r="P12">
            <v>95.01</v>
          </cell>
          <cell r="Q12">
            <v>98.22</v>
          </cell>
          <cell r="R12">
            <v>101.18</v>
          </cell>
          <cell r="S12">
            <v>104.94</v>
          </cell>
        </row>
        <row r="13">
          <cell r="M13">
            <v>80.77</v>
          </cell>
          <cell r="N13">
            <v>84.45</v>
          </cell>
          <cell r="O13">
            <v>91.18</v>
          </cell>
          <cell r="P13">
            <v>95.46</v>
          </cell>
          <cell r="Q13">
            <v>98.45</v>
          </cell>
          <cell r="R13">
            <v>101.62</v>
          </cell>
          <cell r="S13">
            <v>105.53</v>
          </cell>
        </row>
        <row r="14">
          <cell r="M14">
            <v>81.14</v>
          </cell>
          <cell r="N14">
            <v>84.9</v>
          </cell>
          <cell r="O14">
            <v>91.63</v>
          </cell>
          <cell r="P14">
            <v>95.91</v>
          </cell>
          <cell r="Q14">
            <v>98.91</v>
          </cell>
          <cell r="R14">
            <v>102.12</v>
          </cell>
          <cell r="S14">
            <v>105.7</v>
          </cell>
        </row>
        <row r="15">
          <cell r="M15">
            <v>81.53</v>
          </cell>
          <cell r="N15">
            <v>85.12</v>
          </cell>
          <cell r="O15">
            <v>92.1</v>
          </cell>
          <cell r="P15">
            <v>96.12</v>
          </cell>
          <cell r="Q15">
            <v>99.16</v>
          </cell>
          <cell r="R15">
            <v>102.44</v>
          </cell>
          <cell r="S15">
            <v>105.36</v>
          </cell>
        </row>
        <row r="16">
          <cell r="M16">
            <v>81.61</v>
          </cell>
          <cell r="N16">
            <v>85.21</v>
          </cell>
          <cell r="O16">
            <v>92.54</v>
          </cell>
          <cell r="P16">
            <v>96.23</v>
          </cell>
          <cell r="Q16">
            <v>99.31</v>
          </cell>
          <cell r="R16">
            <v>102.71</v>
          </cell>
          <cell r="S16">
            <v>104.97</v>
          </cell>
        </row>
        <row r="17">
          <cell r="M17">
            <v>81.73</v>
          </cell>
          <cell r="N17">
            <v>85.37</v>
          </cell>
          <cell r="O17">
            <v>93.02</v>
          </cell>
          <cell r="P17">
            <v>96.18</v>
          </cell>
          <cell r="Q17">
            <v>99.18</v>
          </cell>
          <cell r="R17">
            <v>102.94</v>
          </cell>
          <cell r="S17">
            <v>104.97</v>
          </cell>
        </row>
        <row r="18">
          <cell r="M18">
            <v>81.900000000000006</v>
          </cell>
          <cell r="N18">
            <v>85.78</v>
          </cell>
          <cell r="O18">
            <v>92.73</v>
          </cell>
          <cell r="P18">
            <v>96.32</v>
          </cell>
          <cell r="Q18">
            <v>99.3</v>
          </cell>
          <cell r="R18">
            <v>103.03</v>
          </cell>
          <cell r="S18">
            <v>104.96</v>
          </cell>
        </row>
        <row r="19">
          <cell r="M19">
            <v>82.01</v>
          </cell>
          <cell r="N19">
            <v>86.39</v>
          </cell>
          <cell r="O19">
            <v>92.68</v>
          </cell>
          <cell r="P19">
            <v>96.36</v>
          </cell>
          <cell r="Q19">
            <v>99.47</v>
          </cell>
          <cell r="R19">
            <v>103.26</v>
          </cell>
          <cell r="S19">
            <v>105.29</v>
          </cell>
        </row>
        <row r="20">
          <cell r="M20">
            <v>82.14</v>
          </cell>
          <cell r="N20">
            <v>86.98</v>
          </cell>
          <cell r="O20">
            <v>92.62</v>
          </cell>
          <cell r="P20">
            <v>96.37</v>
          </cell>
          <cell r="Q20">
            <v>99.59</v>
          </cell>
          <cell r="R20">
            <v>103.43</v>
          </cell>
          <cell r="S20">
            <v>105.23</v>
          </cell>
        </row>
        <row r="21">
          <cell r="M21">
            <v>82.25</v>
          </cell>
          <cell r="N21">
            <v>87.51</v>
          </cell>
          <cell r="O21">
            <v>92.73</v>
          </cell>
          <cell r="P21">
            <v>96.55</v>
          </cell>
          <cell r="Q21">
            <v>99.7</v>
          </cell>
          <cell r="R21">
            <v>103.54</v>
          </cell>
          <cell r="S21">
            <v>105.08</v>
          </cell>
        </row>
        <row r="22">
          <cell r="M22">
            <v>82.47</v>
          </cell>
          <cell r="N22">
            <v>88.05</v>
          </cell>
          <cell r="O22">
            <v>93.11</v>
          </cell>
          <cell r="P22">
            <v>96.92</v>
          </cell>
          <cell r="Q22">
            <v>100</v>
          </cell>
          <cell r="R22">
            <v>103.8</v>
          </cell>
          <cell r="S22">
            <v>105.48</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177AFF-DC5E-4D67-9F90-2D0490E69838}" name="Tabla43" displayName="Tabla43" ref="A5:H17" totalsRowShown="0" headerRowDxfId="11" dataDxfId="10" headerRowBorderDxfId="8" tableBorderDxfId="9">
  <autoFilter ref="A5:H17" xr:uid="{AECA4255-379D-4D86-A706-CFCA7B381868}"/>
  <tableColumns count="8">
    <tableColumn id="1" xr3:uid="{22FAC283-80E2-4F9B-B1D4-93F76D01383B}" name="Mes / Año" dataDxfId="7"/>
    <tableColumn id="12" xr3:uid="{B8F86968-1CAA-4603-96A8-BC095A7DE13F}" name="2014" dataDxfId="6">
      <calculatedColumnFormula>+'[1]Índices Base'!M11</calculatedColumnFormula>
    </tableColumn>
    <tableColumn id="13" xr3:uid="{F1338506-787D-4D2A-A8ED-2E387FEFA869}" name="2015" dataDxfId="5">
      <calculatedColumnFormula>+'[1]Índices Base'!N11</calculatedColumnFormula>
    </tableColumn>
    <tableColumn id="14" xr3:uid="{A285F445-E73E-4992-81C9-E17BDCF6BA97}" name="2016" dataDxfId="4">
      <calculatedColumnFormula>+'[1]Índices Base'!O11</calculatedColumnFormula>
    </tableColumn>
    <tableColumn id="15" xr3:uid="{734AA206-DA21-43D2-B19C-6A6785D18469}" name="2017" dataDxfId="3">
      <calculatedColumnFormula>+'[1]Índices Base'!P11</calculatedColumnFormula>
    </tableColumn>
    <tableColumn id="16" xr3:uid="{A5EB7ABE-A2AB-44E2-B467-6A4CCCB6BDA4}" name="2018" dataDxfId="2">
      <calculatedColumnFormula>+'[1]Índices Base'!Q11</calculatedColumnFormula>
    </tableColumn>
    <tableColumn id="17" xr3:uid="{4EBD540E-E83B-4266-8D94-0D33A024F244}" name="2019" dataDxfId="1">
      <calculatedColumnFormula>+'[1]Índices Base'!R11</calculatedColumnFormula>
    </tableColumn>
    <tableColumn id="2" xr3:uid="{87CAFF0E-3BB4-4EC0-9A12-2F32A623286E}" name="2020" dataDxfId="0">
      <calculatedColumnFormula>+'[1]Índices Base'!S11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1766-D2F4-490A-BEC8-8DDE1B37CA2C}">
  <dimension ref="B2:O22"/>
  <sheetViews>
    <sheetView showGridLines="0" tabSelected="1" workbookViewId="0">
      <selection activeCell="D9" sqref="D9"/>
    </sheetView>
  </sheetViews>
  <sheetFormatPr baseColWidth="10" defaultRowHeight="14.4" x14ac:dyDescent="0.3"/>
  <cols>
    <col min="2" max="15" width="19.109375" customWidth="1"/>
  </cols>
  <sheetData>
    <row r="2" spans="2:15" x14ac:dyDescent="0.3">
      <c r="B2" s="103" t="s">
        <v>139</v>
      </c>
      <c r="C2" s="103"/>
      <c r="D2" s="103"/>
      <c r="E2" s="103"/>
      <c r="F2" s="103"/>
      <c r="G2" s="103"/>
      <c r="H2" s="103"/>
      <c r="I2" s="103"/>
      <c r="J2" s="103"/>
      <c r="K2" s="103"/>
      <c r="L2" s="103"/>
      <c r="M2" s="103"/>
      <c r="N2" s="103"/>
      <c r="O2" s="103"/>
    </row>
    <row r="3" spans="2:15" x14ac:dyDescent="0.3">
      <c r="B3" s="103"/>
      <c r="C3" s="103"/>
      <c r="D3" s="103"/>
      <c r="E3" s="103"/>
      <c r="F3" s="103"/>
      <c r="G3" s="103"/>
      <c r="H3" s="103"/>
      <c r="I3" s="103"/>
      <c r="J3" s="103"/>
      <c r="K3" s="103"/>
      <c r="L3" s="103"/>
      <c r="M3" s="103"/>
      <c r="N3" s="103"/>
      <c r="O3" s="103"/>
    </row>
    <row r="4" spans="2:15" x14ac:dyDescent="0.3">
      <c r="B4" s="103"/>
      <c r="C4" s="103"/>
      <c r="D4" s="103"/>
      <c r="E4" s="103"/>
      <c r="F4" s="103"/>
      <c r="G4" s="103"/>
      <c r="H4" s="103"/>
      <c r="I4" s="103"/>
      <c r="J4" s="103"/>
      <c r="K4" s="103"/>
      <c r="L4" s="103"/>
      <c r="M4" s="103"/>
      <c r="N4" s="103"/>
      <c r="O4" s="103"/>
    </row>
    <row r="5" spans="2:15" x14ac:dyDescent="0.3">
      <c r="B5" s="103"/>
      <c r="C5" s="103"/>
      <c r="D5" s="103"/>
      <c r="E5" s="103"/>
      <c r="F5" s="103"/>
      <c r="G5" s="103"/>
      <c r="H5" s="103"/>
      <c r="I5" s="103"/>
      <c r="J5" s="103"/>
      <c r="K5" s="103"/>
      <c r="L5" s="103"/>
      <c r="M5" s="103"/>
      <c r="N5" s="103"/>
      <c r="O5" s="103"/>
    </row>
    <row r="6" spans="2:15" x14ac:dyDescent="0.3">
      <c r="B6" s="103"/>
      <c r="C6" s="103"/>
      <c r="D6" s="103"/>
      <c r="E6" s="103"/>
      <c r="F6" s="103"/>
      <c r="G6" s="103"/>
      <c r="H6" s="103"/>
      <c r="I6" s="103"/>
      <c r="J6" s="103"/>
      <c r="K6" s="103"/>
      <c r="L6" s="103"/>
      <c r="M6" s="103"/>
      <c r="N6" s="103"/>
      <c r="O6" s="103"/>
    </row>
    <row r="8" spans="2:15" x14ac:dyDescent="0.3">
      <c r="B8" s="159"/>
    </row>
    <row r="9" spans="2:15" ht="15" thickBot="1" x14ac:dyDescent="0.35"/>
    <row r="10" spans="2:15" x14ac:dyDescent="0.3">
      <c r="D10" s="160" t="s">
        <v>142</v>
      </c>
      <c r="E10" s="161"/>
      <c r="F10" s="161"/>
      <c r="G10" s="161"/>
      <c r="H10" s="161"/>
      <c r="I10" s="161"/>
      <c r="J10" s="162"/>
    </row>
    <row r="11" spans="2:15" x14ac:dyDescent="0.3">
      <c r="D11" s="163"/>
      <c r="E11" s="164"/>
      <c r="F11" s="164"/>
      <c r="G11" s="164"/>
      <c r="H11" s="164"/>
      <c r="I11" s="164"/>
      <c r="J11" s="165"/>
    </row>
    <row r="12" spans="2:15" x14ac:dyDescent="0.3">
      <c r="D12" s="163"/>
      <c r="E12" s="164"/>
      <c r="F12" s="164"/>
      <c r="G12" s="164"/>
      <c r="H12" s="164"/>
      <c r="I12" s="164"/>
      <c r="J12" s="165"/>
    </row>
    <row r="13" spans="2:15" x14ac:dyDescent="0.3">
      <c r="D13" s="163"/>
      <c r="E13" s="164"/>
      <c r="F13" s="164"/>
      <c r="G13" s="164"/>
      <c r="H13" s="164"/>
      <c r="I13" s="164"/>
      <c r="J13" s="165"/>
    </row>
    <row r="14" spans="2:15" x14ac:dyDescent="0.3">
      <c r="D14" s="163"/>
      <c r="E14" s="164"/>
      <c r="F14" s="164"/>
      <c r="G14" s="164"/>
      <c r="H14" s="164"/>
      <c r="I14" s="164"/>
      <c r="J14" s="165"/>
    </row>
    <row r="15" spans="2:15" x14ac:dyDescent="0.3">
      <c r="D15" s="163"/>
      <c r="E15" s="164"/>
      <c r="F15" s="164"/>
      <c r="G15" s="164"/>
      <c r="H15" s="164"/>
      <c r="I15" s="164"/>
      <c r="J15" s="165"/>
    </row>
    <row r="16" spans="2:15" x14ac:dyDescent="0.3">
      <c r="D16" s="163"/>
      <c r="E16" s="164"/>
      <c r="F16" s="164"/>
      <c r="G16" s="164"/>
      <c r="H16" s="164"/>
      <c r="I16" s="164"/>
      <c r="J16" s="165"/>
    </row>
    <row r="17" spans="4:10" x14ac:dyDescent="0.3">
      <c r="D17" s="163"/>
      <c r="E17" s="164"/>
      <c r="F17" s="164"/>
      <c r="G17" s="164"/>
      <c r="H17" s="164"/>
      <c r="I17" s="164"/>
      <c r="J17" s="165"/>
    </row>
    <row r="18" spans="4:10" x14ac:dyDescent="0.3">
      <c r="D18" s="163"/>
      <c r="E18" s="164"/>
      <c r="F18" s="164"/>
      <c r="G18" s="164"/>
      <c r="H18" s="164"/>
      <c r="I18" s="164"/>
      <c r="J18" s="165"/>
    </row>
    <row r="19" spans="4:10" x14ac:dyDescent="0.3">
      <c r="D19" s="163"/>
      <c r="E19" s="164"/>
      <c r="F19" s="164"/>
      <c r="G19" s="164"/>
      <c r="H19" s="164"/>
      <c r="I19" s="164"/>
      <c r="J19" s="165"/>
    </row>
    <row r="20" spans="4:10" x14ac:dyDescent="0.3">
      <c r="D20" s="163"/>
      <c r="E20" s="164"/>
      <c r="F20" s="164"/>
      <c r="G20" s="164"/>
      <c r="H20" s="164"/>
      <c r="I20" s="164"/>
      <c r="J20" s="165"/>
    </row>
    <row r="21" spans="4:10" x14ac:dyDescent="0.3">
      <c r="D21" s="163"/>
      <c r="E21" s="164"/>
      <c r="F21" s="164"/>
      <c r="G21" s="164"/>
      <c r="H21" s="164"/>
      <c r="I21" s="164"/>
      <c r="J21" s="165"/>
    </row>
    <row r="22" spans="4:10" ht="15" thickBot="1" x14ac:dyDescent="0.35">
      <c r="D22" s="166"/>
      <c r="E22" s="167"/>
      <c r="F22" s="167"/>
      <c r="G22" s="167"/>
      <c r="H22" s="167"/>
      <c r="I22" s="167"/>
      <c r="J22" s="168"/>
    </row>
  </sheetData>
  <sheetProtection algorithmName="SHA-512" hashValue="HcAluJqBPEwzBaVgmwHn1VWsdNqMP7PIH3KIL4W/iF9Of2GMug/ll25m38D5WCRHWDxPyI95LL1MTl8gB0rZZw==" saltValue="XOTC/DoZWPxZZmIfprzP6A==" spinCount="100000" sheet="1" objects="1" scenarios="1"/>
  <mergeCells count="2">
    <mergeCell ref="B2:O6"/>
    <mergeCell ref="D10:J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EX35"/>
  <sheetViews>
    <sheetView showGridLines="0" zoomScale="90" zoomScaleNormal="90" workbookViewId="0">
      <selection activeCell="A10" sqref="A10"/>
    </sheetView>
  </sheetViews>
  <sheetFormatPr baseColWidth="10" defaultColWidth="11.44140625" defaultRowHeight="13.2" x14ac:dyDescent="0.25"/>
  <cols>
    <col min="1" max="1" width="11.44140625" style="2"/>
    <col min="2" max="2" width="42.5546875" style="2" customWidth="1"/>
    <col min="3" max="3" width="31.5546875" style="2" customWidth="1"/>
    <col min="4" max="4" width="21.5546875" style="2" customWidth="1"/>
    <col min="5" max="5" width="13.88671875" style="2" customWidth="1"/>
    <col min="6" max="6" width="17.44140625" style="2" bestFit="1" customWidth="1"/>
    <col min="7" max="7" width="17" style="2" customWidth="1"/>
    <col min="8" max="20" width="22.5546875" style="2" customWidth="1"/>
    <col min="21" max="21" width="23.44140625" style="2" customWidth="1"/>
    <col min="22" max="22" width="40.44140625" style="2" customWidth="1"/>
    <col min="23" max="23" width="36.5546875" style="2" bestFit="1" customWidth="1"/>
    <col min="24" max="16384" width="11.44140625" style="2"/>
  </cols>
  <sheetData>
    <row r="2" spans="2:21 16367:16378" x14ac:dyDescent="0.25">
      <c r="B2" s="103" t="s">
        <v>139</v>
      </c>
      <c r="C2" s="103"/>
      <c r="D2" s="103"/>
      <c r="E2" s="103"/>
      <c r="F2" s="103"/>
      <c r="G2" s="103"/>
      <c r="H2" s="103"/>
      <c r="I2" s="103"/>
      <c r="J2" s="103"/>
      <c r="K2" s="103"/>
      <c r="L2" s="103"/>
      <c r="M2" s="103"/>
      <c r="N2" s="103"/>
      <c r="O2" s="103"/>
    </row>
    <row r="3" spans="2:21 16367:16378" x14ac:dyDescent="0.25">
      <c r="B3" s="103"/>
      <c r="C3" s="103"/>
      <c r="D3" s="103"/>
      <c r="E3" s="103"/>
      <c r="F3" s="103"/>
      <c r="G3" s="103"/>
      <c r="H3" s="103"/>
      <c r="I3" s="103"/>
      <c r="J3" s="103"/>
      <c r="K3" s="103"/>
      <c r="L3" s="103"/>
      <c r="M3" s="103"/>
      <c r="N3" s="103"/>
      <c r="O3" s="103"/>
    </row>
    <row r="4" spans="2:21 16367:16378" x14ac:dyDescent="0.25">
      <c r="B4" s="103"/>
      <c r="C4" s="103"/>
      <c r="D4" s="103"/>
      <c r="E4" s="103"/>
      <c r="F4" s="103"/>
      <c r="G4" s="103"/>
      <c r="H4" s="103"/>
      <c r="I4" s="103"/>
      <c r="J4" s="103"/>
      <c r="K4" s="103"/>
      <c r="L4" s="103"/>
      <c r="M4" s="103"/>
      <c r="N4" s="103"/>
      <c r="O4" s="103"/>
    </row>
    <row r="5" spans="2:21 16367:16378" x14ac:dyDescent="0.25">
      <c r="B5" s="103"/>
      <c r="C5" s="103"/>
      <c r="D5" s="103"/>
      <c r="E5" s="103"/>
      <c r="F5" s="103"/>
      <c r="G5" s="103"/>
      <c r="H5" s="103"/>
      <c r="I5" s="103"/>
      <c r="J5" s="103"/>
      <c r="K5" s="103"/>
      <c r="L5" s="103"/>
      <c r="M5" s="103"/>
      <c r="N5" s="103"/>
      <c r="O5" s="103"/>
    </row>
    <row r="6" spans="2:21 16367:16378" x14ac:dyDescent="0.25">
      <c r="B6" s="103"/>
      <c r="C6" s="103"/>
      <c r="D6" s="103"/>
      <c r="E6" s="103"/>
      <c r="F6" s="103"/>
      <c r="G6" s="103"/>
      <c r="H6" s="103"/>
      <c r="I6" s="103"/>
      <c r="J6" s="103"/>
      <c r="K6" s="103"/>
      <c r="L6" s="103"/>
      <c r="M6" s="103"/>
      <c r="N6" s="103"/>
      <c r="O6" s="103"/>
    </row>
    <row r="8" spans="2:21 16367:16378" x14ac:dyDescent="0.25">
      <c r="E8" s="43"/>
    </row>
    <row r="9" spans="2:21 16367:16378" ht="13.8" x14ac:dyDescent="0.25">
      <c r="B9" s="17" t="s">
        <v>0</v>
      </c>
      <c r="C9" s="18" t="s">
        <v>4</v>
      </c>
    </row>
    <row r="10" spans="2:21 16367:16378" ht="18" customHeight="1" x14ac:dyDescent="0.25">
      <c r="B10" s="5" t="s">
        <v>2</v>
      </c>
      <c r="C10" s="3">
        <v>0.12280000000000001</v>
      </c>
    </row>
    <row r="11" spans="2:21 16367:16378" ht="18" customHeight="1" x14ac:dyDescent="0.25">
      <c r="B11" s="5" t="s">
        <v>3</v>
      </c>
      <c r="C11" s="3">
        <v>0.12759999999999999</v>
      </c>
    </row>
    <row r="12" spans="2:21 16367:16378" x14ac:dyDescent="0.25">
      <c r="C12" s="16"/>
    </row>
    <row r="13" spans="2:21 16367:16378" ht="13.8" x14ac:dyDescent="0.25">
      <c r="B13" s="17" t="s">
        <v>25</v>
      </c>
      <c r="C13" s="18" t="s">
        <v>4</v>
      </c>
    </row>
    <row r="14" spans="2:21 16367:16378" ht="18" customHeight="1" x14ac:dyDescent="0.25">
      <c r="B14" s="15" t="s">
        <v>26</v>
      </c>
      <c r="C14" s="14">
        <v>0</v>
      </c>
    </row>
    <row r="16" spans="2:21 16367:16378" x14ac:dyDescent="0.25">
      <c r="C16" s="38">
        <v>1</v>
      </c>
      <c r="D16" s="38">
        <v>2</v>
      </c>
      <c r="E16" s="38">
        <v>3</v>
      </c>
      <c r="F16" s="38">
        <v>4</v>
      </c>
      <c r="G16" s="38">
        <v>5</v>
      </c>
      <c r="H16" s="38">
        <v>6</v>
      </c>
      <c r="I16" s="38">
        <v>7</v>
      </c>
      <c r="J16" s="38">
        <v>8</v>
      </c>
      <c r="K16" s="38">
        <v>9</v>
      </c>
      <c r="L16" s="38">
        <v>10</v>
      </c>
      <c r="M16" s="38">
        <v>11</v>
      </c>
      <c r="N16" s="38">
        <v>12</v>
      </c>
      <c r="O16" s="38">
        <v>13</v>
      </c>
      <c r="P16" s="38">
        <v>14</v>
      </c>
      <c r="Q16" s="38">
        <v>15</v>
      </c>
      <c r="R16" s="38">
        <v>16</v>
      </c>
      <c r="S16" s="38">
        <v>17</v>
      </c>
      <c r="T16" s="38">
        <v>18</v>
      </c>
      <c r="U16" s="38">
        <v>19</v>
      </c>
      <c r="XEM16" s="36"/>
      <c r="XEN16" s="36"/>
      <c r="XEO16" s="36"/>
      <c r="XEP16" s="36"/>
      <c r="XEQ16" s="36"/>
      <c r="XER16" s="36"/>
      <c r="XES16" s="36"/>
      <c r="XET16" s="36"/>
      <c r="XEU16" s="36"/>
      <c r="XEV16" s="36"/>
      <c r="XEW16" s="36"/>
      <c r="XEX16" s="36"/>
    </row>
    <row r="17" spans="2:23 16367:16378" ht="26.4" x14ac:dyDescent="0.25">
      <c r="B17" s="6" t="s">
        <v>118</v>
      </c>
      <c r="C17" s="6" t="s">
        <v>119</v>
      </c>
      <c r="D17" s="6" t="s">
        <v>13</v>
      </c>
      <c r="E17" s="6" t="s">
        <v>14</v>
      </c>
      <c r="F17" s="6" t="s">
        <v>15</v>
      </c>
      <c r="G17" s="6" t="s">
        <v>70</v>
      </c>
      <c r="H17" s="6" t="s">
        <v>63</v>
      </c>
      <c r="I17" s="6" t="s">
        <v>27</v>
      </c>
      <c r="J17" s="37">
        <v>0</v>
      </c>
      <c r="K17" s="37">
        <v>1</v>
      </c>
      <c r="L17" s="37">
        <v>2</v>
      </c>
      <c r="M17" s="37">
        <v>3</v>
      </c>
      <c r="N17" s="37">
        <v>4</v>
      </c>
      <c r="O17" s="37">
        <v>5</v>
      </c>
      <c r="P17" s="37">
        <v>6</v>
      </c>
      <c r="Q17" s="37">
        <v>7</v>
      </c>
      <c r="R17" s="37">
        <v>8</v>
      </c>
      <c r="S17" s="37">
        <v>9</v>
      </c>
      <c r="T17" s="37">
        <v>10</v>
      </c>
      <c r="U17" s="6" t="s">
        <v>64</v>
      </c>
      <c r="V17" s="6" t="s">
        <v>65</v>
      </c>
      <c r="W17" s="6" t="s">
        <v>22</v>
      </c>
      <c r="XEM17" s="36"/>
      <c r="XEN17" s="36"/>
      <c r="XEO17" s="36"/>
      <c r="XEP17" s="36"/>
      <c r="XEQ17" s="36"/>
      <c r="XER17" s="36"/>
      <c r="XES17" s="36"/>
      <c r="XET17" s="36"/>
      <c r="XEU17" s="36"/>
      <c r="XEV17" s="36"/>
      <c r="XEW17" s="36"/>
      <c r="XEX17" s="36"/>
    </row>
    <row r="18" spans="2:23 16367:16378" ht="96.6" customHeight="1" x14ac:dyDescent="0.25">
      <c r="B18" s="105" t="s">
        <v>120</v>
      </c>
      <c r="C18" s="105" t="s">
        <v>122</v>
      </c>
      <c r="D18" s="102" t="s">
        <v>5</v>
      </c>
      <c r="E18" s="7" t="s">
        <v>6</v>
      </c>
      <c r="F18" s="8">
        <v>2</v>
      </c>
      <c r="G18" s="8">
        <v>3</v>
      </c>
      <c r="H18" s="9">
        <v>1100000000</v>
      </c>
      <c r="I18" s="19">
        <v>40</v>
      </c>
      <c r="J18" s="10" t="s">
        <v>16</v>
      </c>
      <c r="K18" s="10" t="s">
        <v>16</v>
      </c>
      <c r="L18" s="88" t="s">
        <v>17</v>
      </c>
      <c r="M18" s="88" t="s">
        <v>102</v>
      </c>
      <c r="N18" s="88" t="s">
        <v>16</v>
      </c>
      <c r="O18" s="88" t="s">
        <v>16</v>
      </c>
      <c r="P18" s="10" t="s">
        <v>16</v>
      </c>
      <c r="Q18" s="10" t="s">
        <v>16</v>
      </c>
      <c r="R18" s="10" t="s">
        <v>16</v>
      </c>
      <c r="S18" s="10" t="s">
        <v>16</v>
      </c>
      <c r="T18" s="10" t="s">
        <v>16</v>
      </c>
      <c r="U18" s="11">
        <v>1000000000</v>
      </c>
      <c r="V18" s="11">
        <f>+U18</f>
        <v>1000000000</v>
      </c>
      <c r="W18" s="13" t="s">
        <v>23</v>
      </c>
      <c r="XEM18" s="36"/>
      <c r="XEN18" s="36"/>
      <c r="XEO18" s="36"/>
      <c r="XEP18" s="36"/>
      <c r="XEQ18" s="36"/>
      <c r="XER18" s="36"/>
      <c r="XES18" s="36"/>
      <c r="XET18" s="36"/>
      <c r="XEU18" s="36"/>
      <c r="XEV18" s="36"/>
      <c r="XEW18" s="36"/>
      <c r="XEX18" s="36"/>
    </row>
    <row r="19" spans="2:23 16367:16378" ht="96.6" customHeight="1" x14ac:dyDescent="0.25">
      <c r="B19" s="105"/>
      <c r="C19" s="105"/>
      <c r="D19" s="102" t="s">
        <v>126</v>
      </c>
      <c r="E19" s="7" t="s">
        <v>7</v>
      </c>
      <c r="F19" s="8">
        <v>5</v>
      </c>
      <c r="G19" s="8">
        <v>5</v>
      </c>
      <c r="H19" s="9">
        <v>1500000000</v>
      </c>
      <c r="I19" s="19">
        <v>40</v>
      </c>
      <c r="J19" s="10" t="s">
        <v>16</v>
      </c>
      <c r="K19" s="10" t="s">
        <v>16</v>
      </c>
      <c r="L19" s="88" t="s">
        <v>16</v>
      </c>
      <c r="M19" s="88" t="s">
        <v>103</v>
      </c>
      <c r="N19" s="88" t="s">
        <v>16</v>
      </c>
      <c r="O19" s="88" t="s">
        <v>18</v>
      </c>
      <c r="P19" s="10" t="s">
        <v>16</v>
      </c>
      <c r="Q19" s="10" t="s">
        <v>16</v>
      </c>
      <c r="R19" s="10" t="s">
        <v>16</v>
      </c>
      <c r="S19" s="10" t="s">
        <v>16</v>
      </c>
      <c r="T19" s="10" t="s">
        <v>16</v>
      </c>
      <c r="U19" s="11">
        <v>1796360616.7850602</v>
      </c>
      <c r="V19" s="11">
        <f t="shared" ref="V19:V24" si="0">+U19</f>
        <v>1796360616.7850602</v>
      </c>
      <c r="W19" s="87" t="s">
        <v>107</v>
      </c>
      <c r="XEM19" s="36"/>
      <c r="XEN19" s="36"/>
      <c r="XEO19" s="36"/>
      <c r="XEP19" s="36"/>
      <c r="XEQ19" s="36"/>
      <c r="XER19" s="36"/>
      <c r="XES19" s="36"/>
      <c r="XET19" s="36"/>
      <c r="XEU19" s="36"/>
      <c r="XEV19" s="36"/>
      <c r="XEW19" s="36"/>
      <c r="XEX19" s="36"/>
    </row>
    <row r="20" spans="2:23 16367:16378" ht="96.6" customHeight="1" x14ac:dyDescent="0.25">
      <c r="B20" s="105"/>
      <c r="C20" s="105"/>
      <c r="D20" s="102" t="s">
        <v>127</v>
      </c>
      <c r="E20" s="7" t="s">
        <v>8</v>
      </c>
      <c r="F20" s="8">
        <v>4</v>
      </c>
      <c r="G20" s="8">
        <v>5</v>
      </c>
      <c r="H20" s="9">
        <v>2000000000</v>
      </c>
      <c r="I20" s="19">
        <v>30</v>
      </c>
      <c r="J20" s="10" t="s">
        <v>16</v>
      </c>
      <c r="K20" s="10" t="s">
        <v>16</v>
      </c>
      <c r="L20" s="88" t="s">
        <v>16</v>
      </c>
      <c r="M20" s="88" t="s">
        <v>16</v>
      </c>
      <c r="N20" s="88" t="s">
        <v>17</v>
      </c>
      <c r="O20" s="88" t="s">
        <v>18</v>
      </c>
      <c r="P20" s="10" t="s">
        <v>16</v>
      </c>
      <c r="Q20" s="10" t="s">
        <v>16</v>
      </c>
      <c r="R20" s="10" t="s">
        <v>16</v>
      </c>
      <c r="S20" s="10" t="s">
        <v>16</v>
      </c>
      <c r="T20" s="10" t="s">
        <v>16</v>
      </c>
      <c r="U20" s="12">
        <f>+H20</f>
        <v>2000000000</v>
      </c>
      <c r="V20" s="11">
        <f t="shared" si="0"/>
        <v>2000000000</v>
      </c>
      <c r="W20" s="13"/>
      <c r="XEM20" s="36"/>
      <c r="XEN20" s="36"/>
      <c r="XEO20" s="36"/>
      <c r="XEP20" s="36"/>
      <c r="XEQ20" s="36"/>
      <c r="XER20" s="36"/>
      <c r="XES20" s="36"/>
      <c r="XET20" s="36"/>
      <c r="XEU20" s="36"/>
      <c r="XEV20" s="36"/>
      <c r="XEW20" s="36"/>
      <c r="XEX20" s="36"/>
    </row>
    <row r="21" spans="2:23 16367:16378" ht="96.6" customHeight="1" x14ac:dyDescent="0.25">
      <c r="B21" s="105"/>
      <c r="C21" s="105"/>
      <c r="D21" s="102" t="s">
        <v>9</v>
      </c>
      <c r="E21" s="7" t="s">
        <v>134</v>
      </c>
      <c r="F21" s="8">
        <v>3</v>
      </c>
      <c r="G21" s="8">
        <v>3</v>
      </c>
      <c r="H21" s="9">
        <v>1800000000</v>
      </c>
      <c r="I21" s="19">
        <v>40</v>
      </c>
      <c r="J21" s="10" t="s">
        <v>16</v>
      </c>
      <c r="K21" s="10" t="s">
        <v>16</v>
      </c>
      <c r="L21" s="88" t="s">
        <v>16</v>
      </c>
      <c r="M21" s="88" t="s">
        <v>18</v>
      </c>
      <c r="N21" s="88" t="s">
        <v>16</v>
      </c>
      <c r="O21" s="88" t="s">
        <v>16</v>
      </c>
      <c r="P21" s="10" t="s">
        <v>16</v>
      </c>
      <c r="Q21" s="10" t="s">
        <v>16</v>
      </c>
      <c r="R21" s="10" t="s">
        <v>16</v>
      </c>
      <c r="S21" s="10" t="s">
        <v>16</v>
      </c>
      <c r="T21" s="10" t="s">
        <v>16</v>
      </c>
      <c r="U21" s="12">
        <f>+H21</f>
        <v>1800000000</v>
      </c>
      <c r="V21" s="11">
        <f t="shared" si="0"/>
        <v>1800000000</v>
      </c>
      <c r="W21" s="13" t="s">
        <v>135</v>
      </c>
      <c r="XEM21" s="36"/>
      <c r="XEN21" s="36"/>
      <c r="XEO21" s="36"/>
      <c r="XEP21" s="36"/>
      <c r="XEQ21" s="36"/>
      <c r="XER21" s="36"/>
      <c r="XES21" s="36"/>
      <c r="XET21" s="36"/>
      <c r="XEU21" s="36"/>
      <c r="XEV21" s="36"/>
      <c r="XEW21" s="36"/>
      <c r="XEX21" s="36"/>
    </row>
    <row r="22" spans="2:23 16367:16378" ht="96.6" customHeight="1" x14ac:dyDescent="0.25">
      <c r="B22" s="102" t="s">
        <v>120</v>
      </c>
      <c r="C22" s="102" t="s">
        <v>123</v>
      </c>
      <c r="D22" s="102" t="s">
        <v>128</v>
      </c>
      <c r="E22" s="7" t="s">
        <v>10</v>
      </c>
      <c r="F22" s="8">
        <v>2</v>
      </c>
      <c r="G22" s="8">
        <v>2</v>
      </c>
      <c r="H22" s="9">
        <v>8000000000</v>
      </c>
      <c r="I22" s="19">
        <v>40</v>
      </c>
      <c r="J22" s="10" t="s">
        <v>16</v>
      </c>
      <c r="K22" s="10" t="s">
        <v>16</v>
      </c>
      <c r="L22" s="88" t="s">
        <v>19</v>
      </c>
      <c r="M22" s="88" t="s">
        <v>16</v>
      </c>
      <c r="N22" s="88" t="s">
        <v>16</v>
      </c>
      <c r="O22" s="88" t="s">
        <v>16</v>
      </c>
      <c r="P22" s="10" t="s">
        <v>16</v>
      </c>
      <c r="Q22" s="10" t="s">
        <v>16</v>
      </c>
      <c r="R22" s="10" t="s">
        <v>16</v>
      </c>
      <c r="S22" s="10" t="s">
        <v>16</v>
      </c>
      <c r="T22" s="10" t="s">
        <v>16</v>
      </c>
      <c r="U22" s="12">
        <f>+H22</f>
        <v>8000000000</v>
      </c>
      <c r="V22" s="11">
        <v>6000000000</v>
      </c>
      <c r="W22" s="13" t="s">
        <v>24</v>
      </c>
      <c r="XEM22" s="36"/>
      <c r="XEN22" s="36"/>
      <c r="XEO22" s="36"/>
      <c r="XEP22" s="36"/>
      <c r="XEQ22" s="36"/>
      <c r="XER22" s="36"/>
      <c r="XES22" s="36"/>
      <c r="XET22" s="36"/>
      <c r="XEU22" s="36"/>
      <c r="XEV22" s="36"/>
      <c r="XEW22" s="36"/>
      <c r="XEX22" s="36"/>
    </row>
    <row r="23" spans="2:23 16367:16378" ht="96.6" customHeight="1" x14ac:dyDescent="0.25">
      <c r="B23" s="102" t="s">
        <v>121</v>
      </c>
      <c r="C23" s="102" t="s">
        <v>124</v>
      </c>
      <c r="D23" s="102" t="s">
        <v>129</v>
      </c>
      <c r="E23" s="7" t="s">
        <v>11</v>
      </c>
      <c r="F23" s="8">
        <v>2</v>
      </c>
      <c r="G23" s="8">
        <v>2</v>
      </c>
      <c r="H23" s="9">
        <v>2500000000</v>
      </c>
      <c r="I23" s="19">
        <v>35</v>
      </c>
      <c r="J23" s="10" t="s">
        <v>16</v>
      </c>
      <c r="K23" s="10" t="s">
        <v>16</v>
      </c>
      <c r="L23" s="88" t="s">
        <v>20</v>
      </c>
      <c r="M23" s="88" t="s">
        <v>16</v>
      </c>
      <c r="N23" s="88" t="s">
        <v>16</v>
      </c>
      <c r="O23" s="88" t="s">
        <v>16</v>
      </c>
      <c r="P23" s="10" t="s">
        <v>16</v>
      </c>
      <c r="Q23" s="10" t="s">
        <v>16</v>
      </c>
      <c r="R23" s="10" t="s">
        <v>16</v>
      </c>
      <c r="S23" s="10" t="s">
        <v>16</v>
      </c>
      <c r="T23" s="10" t="s">
        <v>16</v>
      </c>
      <c r="U23" s="12">
        <f>+H23</f>
        <v>2500000000</v>
      </c>
      <c r="V23" s="11">
        <v>5000000000</v>
      </c>
      <c r="W23" s="13" t="s">
        <v>131</v>
      </c>
      <c r="XEM23" s="36"/>
      <c r="XEN23" s="36"/>
      <c r="XEO23" s="36"/>
      <c r="XEP23" s="36"/>
      <c r="XEQ23" s="36"/>
      <c r="XER23" s="36"/>
      <c r="XES23" s="36"/>
      <c r="XET23" s="36"/>
      <c r="XEU23" s="36"/>
      <c r="XEV23" s="36"/>
      <c r="XEW23" s="36"/>
      <c r="XEX23" s="36"/>
    </row>
    <row r="24" spans="2:23 16367:16378" ht="96.6" customHeight="1" x14ac:dyDescent="0.25">
      <c r="B24" s="102" t="s">
        <v>121</v>
      </c>
      <c r="C24" s="102" t="s">
        <v>125</v>
      </c>
      <c r="D24" s="102" t="s">
        <v>130</v>
      </c>
      <c r="E24" s="7" t="s">
        <v>12</v>
      </c>
      <c r="F24" s="8">
        <v>8</v>
      </c>
      <c r="G24" s="8">
        <v>5</v>
      </c>
      <c r="H24" s="9">
        <v>3000000000</v>
      </c>
      <c r="I24" s="19">
        <v>30</v>
      </c>
      <c r="J24" s="10" t="s">
        <v>16</v>
      </c>
      <c r="K24" s="10" t="s">
        <v>16</v>
      </c>
      <c r="L24" s="88" t="s">
        <v>16</v>
      </c>
      <c r="M24" s="88" t="s">
        <v>16</v>
      </c>
      <c r="N24" s="88" t="s">
        <v>16</v>
      </c>
      <c r="O24" s="88" t="s">
        <v>18</v>
      </c>
      <c r="P24" s="10" t="s">
        <v>16</v>
      </c>
      <c r="Q24" s="10" t="s">
        <v>16</v>
      </c>
      <c r="R24" s="10" t="s">
        <v>16</v>
      </c>
      <c r="S24" s="10" t="s">
        <v>16</v>
      </c>
      <c r="T24" s="10" t="s">
        <v>16</v>
      </c>
      <c r="U24" s="12">
        <f>+H24</f>
        <v>3000000000</v>
      </c>
      <c r="V24" s="11">
        <f t="shared" si="0"/>
        <v>3000000000</v>
      </c>
      <c r="W24" s="13"/>
    </row>
    <row r="26" spans="2:23 16367:16378" x14ac:dyDescent="0.25">
      <c r="B26" s="104" t="s">
        <v>21</v>
      </c>
      <c r="C26" s="104"/>
      <c r="D26" s="104"/>
      <c r="E26" s="104"/>
      <c r="F26" s="104"/>
      <c r="G26" s="104"/>
      <c r="H26" s="104"/>
      <c r="I26" s="104"/>
      <c r="J26" s="104"/>
      <c r="K26" s="104"/>
      <c r="L26" s="104"/>
      <c r="M26" s="104"/>
      <c r="N26" s="104"/>
      <c r="O26" s="104"/>
      <c r="P26" s="104"/>
      <c r="Q26" s="104"/>
      <c r="R26" s="104"/>
      <c r="S26" s="104"/>
      <c r="T26" s="104"/>
      <c r="U26" s="104"/>
    </row>
    <row r="31" spans="2:23 16367:16378" x14ac:dyDescent="0.25">
      <c r="B31" s="29" t="s">
        <v>52</v>
      </c>
      <c r="C31" s="29" t="s">
        <v>42</v>
      </c>
      <c r="D31" s="29" t="s">
        <v>43</v>
      </c>
      <c r="E31" s="29" t="s">
        <v>44</v>
      </c>
      <c r="F31" s="29" t="s">
        <v>45</v>
      </c>
      <c r="G31" s="29" t="s">
        <v>46</v>
      </c>
      <c r="H31" s="29" t="s">
        <v>47</v>
      </c>
      <c r="I31" s="29" t="s">
        <v>48</v>
      </c>
      <c r="J31" s="29" t="s">
        <v>49</v>
      </c>
      <c r="K31" s="29" t="s">
        <v>50</v>
      </c>
      <c r="L31" s="29" t="s">
        <v>51</v>
      </c>
    </row>
    <row r="32" spans="2:23 16367:16378" x14ac:dyDescent="0.25">
      <c r="B32" s="26" t="s">
        <v>41</v>
      </c>
      <c r="C32" s="27">
        <v>304749279.12</v>
      </c>
      <c r="D32" s="28">
        <v>310063070.75999999</v>
      </c>
      <c r="E32" s="28">
        <v>313111354.31999999</v>
      </c>
      <c r="F32" s="28">
        <v>316489046.99999994</v>
      </c>
      <c r="G32" s="28">
        <v>318866646.84000003</v>
      </c>
      <c r="H32" s="28">
        <v>320080372.08000004</v>
      </c>
      <c r="I32" s="28">
        <v>321828145.32000005</v>
      </c>
      <c r="J32" s="28">
        <v>323889184.07999998</v>
      </c>
      <c r="K32" s="28">
        <v>325889684.63999999</v>
      </c>
      <c r="L32" s="28">
        <v>327001087.31999993</v>
      </c>
    </row>
    <row r="34" spans="2:7" ht="14.4" x14ac:dyDescent="0.3">
      <c r="B34" s="29" t="s">
        <v>52</v>
      </c>
      <c r="C34" s="39" t="s">
        <v>71</v>
      </c>
      <c r="D34" s="39" t="s">
        <v>72</v>
      </c>
      <c r="E34" s="39" t="s">
        <v>73</v>
      </c>
      <c r="F34" s="39" t="s">
        <v>74</v>
      </c>
      <c r="G34" s="39" t="s">
        <v>75</v>
      </c>
    </row>
    <row r="35" spans="2:7" ht="15.6" x14ac:dyDescent="0.3">
      <c r="B35" s="40" t="s">
        <v>76</v>
      </c>
      <c r="C35" s="41">
        <v>292240518</v>
      </c>
      <c r="D35" s="41">
        <v>293074685</v>
      </c>
      <c r="E35" s="41">
        <v>300303493</v>
      </c>
      <c r="F35" s="41">
        <v>309312597.79000002</v>
      </c>
      <c r="G35" s="41">
        <v>318591975.72370005</v>
      </c>
    </row>
  </sheetData>
  <sheetProtection algorithmName="SHA-512" hashValue="J6Tpxsww4IleVhkQw1+JRi1y57p196SwSR1ure7GIyTf/EoVtjzxoZVSgh2ZoqxrHfv7t20Li80S+aCaV/xt5w==" saltValue="abie2NjtxSgkh03tK3VIPQ==" spinCount="100000" sheet="1" objects="1" scenarios="1"/>
  <mergeCells count="4">
    <mergeCell ref="B2:O6"/>
    <mergeCell ref="B26:U26"/>
    <mergeCell ref="B18:B21"/>
    <mergeCell ref="C18:C21"/>
  </mergeCells>
  <dataValidations count="1">
    <dataValidation operator="lessThan" allowBlank="1" showInputMessage="1" showErrorMessage="1" sqref="V18:V24" xr:uid="{00000000-0002-0000-0000-000000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77"/>
  <sheetViews>
    <sheetView showGridLines="0" zoomScaleNormal="100" workbookViewId="0">
      <selection activeCell="A3" sqref="A3"/>
    </sheetView>
  </sheetViews>
  <sheetFormatPr baseColWidth="10" defaultColWidth="11.44140625" defaultRowHeight="13.2" x14ac:dyDescent="0.25"/>
  <cols>
    <col min="1" max="1" width="11.44140625" style="170"/>
    <col min="2" max="2" width="24.5546875" style="170" customWidth="1"/>
    <col min="3" max="3" width="43.88671875" style="170" customWidth="1"/>
    <col min="4" max="4" width="20" style="170" customWidth="1"/>
    <col min="5" max="5" width="16.88671875" style="170" bestFit="1" customWidth="1"/>
    <col min="6" max="6" width="14.88671875" style="170" customWidth="1"/>
    <col min="7" max="7" width="18.88671875" style="170" bestFit="1" customWidth="1"/>
    <col min="8" max="8" width="20" style="170" bestFit="1" customWidth="1"/>
    <col min="9" max="17" width="16.5546875" style="170" customWidth="1"/>
    <col min="18" max="19" width="15" style="170" bestFit="1" customWidth="1"/>
    <col min="20" max="28" width="14.88671875" style="170" bestFit="1" customWidth="1"/>
    <col min="29" max="30" width="11.44140625" style="170"/>
    <col min="31" max="39" width="13.44140625" style="170" bestFit="1" customWidth="1"/>
    <col min="40" max="42" width="8.88671875" style="170" bestFit="1" customWidth="1"/>
    <col min="43" max="50" width="14.88671875" style="170" bestFit="1" customWidth="1"/>
    <col min="51" max="60" width="12.44140625" style="170" bestFit="1" customWidth="1"/>
    <col min="61" max="62" width="16.44140625" style="170" bestFit="1" customWidth="1"/>
    <col min="63" max="16384" width="11.44140625" style="170"/>
  </cols>
  <sheetData>
    <row r="2" spans="2:19" x14ac:dyDescent="0.25">
      <c r="B2" s="169" t="s">
        <v>60</v>
      </c>
      <c r="C2" s="169"/>
      <c r="D2" s="169"/>
      <c r="E2" s="169"/>
      <c r="F2" s="169"/>
      <c r="G2" s="169"/>
      <c r="H2" s="169"/>
      <c r="I2" s="169"/>
      <c r="J2" s="169"/>
      <c r="K2" s="169"/>
      <c r="L2" s="169"/>
      <c r="M2" s="169"/>
    </row>
    <row r="3" spans="2:19" x14ac:dyDescent="0.25">
      <c r="B3" s="169"/>
      <c r="C3" s="169"/>
      <c r="D3" s="169"/>
      <c r="E3" s="169"/>
      <c r="F3" s="169"/>
      <c r="G3" s="169"/>
      <c r="H3" s="169"/>
      <c r="I3" s="169"/>
      <c r="J3" s="169"/>
      <c r="K3" s="169"/>
      <c r="L3" s="169"/>
      <c r="M3" s="169"/>
    </row>
    <row r="4" spans="2:19" ht="12.75" customHeight="1" x14ac:dyDescent="0.25">
      <c r="B4" s="169"/>
      <c r="C4" s="169"/>
      <c r="D4" s="169"/>
      <c r="E4" s="169"/>
      <c r="F4" s="169"/>
      <c r="G4" s="169"/>
      <c r="H4" s="169"/>
      <c r="I4" s="169"/>
      <c r="J4" s="169"/>
      <c r="K4" s="169"/>
      <c r="L4" s="169"/>
      <c r="M4" s="169"/>
    </row>
    <row r="5" spans="2:19" ht="12.75" customHeight="1" x14ac:dyDescent="0.25">
      <c r="B5" s="169"/>
      <c r="C5" s="169"/>
      <c r="D5" s="169"/>
      <c r="E5" s="169"/>
      <c r="F5" s="169"/>
      <c r="G5" s="169"/>
      <c r="H5" s="169"/>
      <c r="I5" s="169"/>
      <c r="J5" s="169"/>
      <c r="K5" s="169"/>
      <c r="L5" s="169"/>
      <c r="M5" s="169"/>
    </row>
    <row r="6" spans="2:19" ht="12.75" customHeight="1" x14ac:dyDescent="0.25">
      <c r="B6" s="169"/>
      <c r="C6" s="169"/>
      <c r="D6" s="169"/>
      <c r="E6" s="169"/>
      <c r="F6" s="169"/>
      <c r="G6" s="169"/>
      <c r="H6" s="169"/>
      <c r="I6" s="169"/>
      <c r="J6" s="169"/>
      <c r="K6" s="169"/>
      <c r="L6" s="169"/>
      <c r="M6" s="169"/>
    </row>
    <row r="7" spans="2:19" ht="12.75" customHeight="1" x14ac:dyDescent="0.25"/>
    <row r="8" spans="2:19" ht="14.4" x14ac:dyDescent="0.3">
      <c r="B8" s="171" t="s">
        <v>1</v>
      </c>
      <c r="C8" s="172">
        <v>0.12280000000000001</v>
      </c>
    </row>
    <row r="11" spans="2:19" ht="20.399999999999999" thickBot="1" x14ac:dyDescent="0.45">
      <c r="B11" s="173" t="s">
        <v>54</v>
      </c>
      <c r="C11" s="173"/>
      <c r="D11" s="173"/>
      <c r="E11" s="173"/>
      <c r="F11" s="173"/>
      <c r="G11" s="173"/>
    </row>
    <row r="12" spans="2:19" ht="13.8" thickTop="1" x14ac:dyDescent="0.25"/>
    <row r="13" spans="2:19" ht="26.4" x14ac:dyDescent="0.25">
      <c r="B13" s="174" t="s">
        <v>118</v>
      </c>
      <c r="C13" s="174" t="s">
        <v>119</v>
      </c>
      <c r="D13" s="174" t="str">
        <f>+'Tablero de Control'!D17</f>
        <v>Actividad del activo j</v>
      </c>
      <c r="E13" s="174" t="str">
        <f>+'Tablero de Control'!E17</f>
        <v>Identificación del activo</v>
      </c>
      <c r="F13" s="174" t="str">
        <f>+'Tablero de Control'!F17</f>
        <v>Año planeado</v>
      </c>
      <c r="G13" s="174" t="str">
        <f>+'Tablero de Control'!H17</f>
        <v>Valor POIR planeado del activo j</v>
      </c>
      <c r="H13" s="174" t="str">
        <f>+'Tablero de Control'!I17</f>
        <v>Vida Útil</v>
      </c>
      <c r="I13" s="175">
        <v>0</v>
      </c>
      <c r="J13" s="175">
        <v>1</v>
      </c>
      <c r="K13" s="175">
        <v>2</v>
      </c>
      <c r="L13" s="175">
        <v>3</v>
      </c>
      <c r="M13" s="175">
        <v>4</v>
      </c>
      <c r="N13" s="175">
        <v>5</v>
      </c>
      <c r="O13" s="175">
        <v>6</v>
      </c>
      <c r="P13" s="175">
        <v>7</v>
      </c>
      <c r="Q13" s="175">
        <v>8</v>
      </c>
      <c r="R13" s="175">
        <v>9</v>
      </c>
      <c r="S13" s="175">
        <v>10</v>
      </c>
    </row>
    <row r="14" spans="2:19" x14ac:dyDescent="0.25">
      <c r="B14" s="176" t="str">
        <f>+'Tablero de Control'!B18</f>
        <v>ACUEDUCTO</v>
      </c>
      <c r="C14" s="177" t="str">
        <f>+'Tablero de Control'!C18</f>
        <v>PRODUCCIÓN DE AGUA POTABLE</v>
      </c>
      <c r="D14" s="178" t="str">
        <f>+'Tablero de Control'!D18</f>
        <v>CAPTACIÓN</v>
      </c>
      <c r="E14" s="179" t="str">
        <f>+'Tablero de Control'!E18</f>
        <v>ACTIVO 1</v>
      </c>
      <c r="F14" s="180">
        <f>+'Tablero de Control'!F18</f>
        <v>2</v>
      </c>
      <c r="G14" s="181">
        <f>+'Tablero de Control'!H18</f>
        <v>1100000000</v>
      </c>
      <c r="H14" s="182">
        <f>+VLOOKUP(E14,'Tablero de Control'!$E$18:$I$24,5,FALSE)</f>
        <v>40</v>
      </c>
      <c r="I14" s="183" t="str">
        <f t="shared" ref="I14:I20" si="0">+IF(I$13&lt;=$F14,"",$G14/$H14)</f>
        <v/>
      </c>
      <c r="J14" s="183">
        <f t="shared" ref="J14:S20" si="1">+IF(J$13&lt;=$F14,0,$G14/$H14)</f>
        <v>0</v>
      </c>
      <c r="K14" s="183">
        <f t="shared" si="1"/>
        <v>0</v>
      </c>
      <c r="L14" s="183">
        <f t="shared" si="1"/>
        <v>27500000</v>
      </c>
      <c r="M14" s="183">
        <f t="shared" si="1"/>
        <v>27500000</v>
      </c>
      <c r="N14" s="183">
        <f t="shared" si="1"/>
        <v>27500000</v>
      </c>
      <c r="O14" s="183">
        <f t="shared" si="1"/>
        <v>27500000</v>
      </c>
      <c r="P14" s="183">
        <f t="shared" si="1"/>
        <v>27500000</v>
      </c>
      <c r="Q14" s="183">
        <f t="shared" si="1"/>
        <v>27500000</v>
      </c>
      <c r="R14" s="183">
        <f t="shared" si="1"/>
        <v>27500000</v>
      </c>
      <c r="S14" s="183">
        <f t="shared" si="1"/>
        <v>27500000</v>
      </c>
    </row>
    <row r="15" spans="2:19" x14ac:dyDescent="0.25">
      <c r="B15" s="184"/>
      <c r="C15" s="185"/>
      <c r="D15" s="178" t="str">
        <f>+'Tablero de Control'!D19</f>
        <v xml:space="preserve">ADUCCIÓN </v>
      </c>
      <c r="E15" s="179" t="str">
        <f>+'Tablero de Control'!E19</f>
        <v>ACTIVO 2</v>
      </c>
      <c r="F15" s="180">
        <f>+'Tablero de Control'!F19</f>
        <v>5</v>
      </c>
      <c r="G15" s="181">
        <f>+'Tablero de Control'!H19</f>
        <v>1500000000</v>
      </c>
      <c r="H15" s="182">
        <f>+VLOOKUP(E15,'Tablero de Control'!$E$18:$I$24,5,FALSE)</f>
        <v>40</v>
      </c>
      <c r="I15" s="183" t="str">
        <f t="shared" si="0"/>
        <v/>
      </c>
      <c r="J15" s="183">
        <f t="shared" si="1"/>
        <v>0</v>
      </c>
      <c r="K15" s="183">
        <f t="shared" si="1"/>
        <v>0</v>
      </c>
      <c r="L15" s="183">
        <f t="shared" si="1"/>
        <v>0</v>
      </c>
      <c r="M15" s="183">
        <f t="shared" si="1"/>
        <v>0</v>
      </c>
      <c r="N15" s="183">
        <f t="shared" si="1"/>
        <v>0</v>
      </c>
      <c r="O15" s="183">
        <f t="shared" si="1"/>
        <v>37500000</v>
      </c>
      <c r="P15" s="183">
        <f t="shared" si="1"/>
        <v>37500000</v>
      </c>
      <c r="Q15" s="183">
        <f t="shared" si="1"/>
        <v>37500000</v>
      </c>
      <c r="R15" s="183">
        <f t="shared" si="1"/>
        <v>37500000</v>
      </c>
      <c r="S15" s="183">
        <f t="shared" si="1"/>
        <v>37500000</v>
      </c>
    </row>
    <row r="16" spans="2:19" x14ac:dyDescent="0.25">
      <c r="B16" s="184"/>
      <c r="C16" s="185"/>
      <c r="D16" s="178" t="str">
        <f>+'Tablero de Control'!D20</f>
        <v>PRETRATAMIENTO</v>
      </c>
      <c r="E16" s="179" t="str">
        <f>+'Tablero de Control'!E20</f>
        <v>ACTIVO 3</v>
      </c>
      <c r="F16" s="180">
        <f>+'Tablero de Control'!F20</f>
        <v>4</v>
      </c>
      <c r="G16" s="181">
        <f>+'Tablero de Control'!H20</f>
        <v>2000000000</v>
      </c>
      <c r="H16" s="182">
        <f>+VLOOKUP(E16,'Tablero de Control'!$E$18:$I$24,5,FALSE)</f>
        <v>30</v>
      </c>
      <c r="I16" s="183" t="str">
        <f t="shared" si="0"/>
        <v/>
      </c>
      <c r="J16" s="183">
        <f t="shared" si="1"/>
        <v>0</v>
      </c>
      <c r="K16" s="183">
        <f t="shared" si="1"/>
        <v>0</v>
      </c>
      <c r="L16" s="183">
        <f t="shared" si="1"/>
        <v>0</v>
      </c>
      <c r="M16" s="183">
        <f t="shared" si="1"/>
        <v>0</v>
      </c>
      <c r="N16" s="183">
        <f t="shared" si="1"/>
        <v>66666666.666666664</v>
      </c>
      <c r="O16" s="183">
        <f t="shared" si="1"/>
        <v>66666666.666666664</v>
      </c>
      <c r="P16" s="183">
        <f t="shared" si="1"/>
        <v>66666666.666666664</v>
      </c>
      <c r="Q16" s="183">
        <f t="shared" si="1"/>
        <v>66666666.666666664</v>
      </c>
      <c r="R16" s="183">
        <f t="shared" si="1"/>
        <v>66666666.666666664</v>
      </c>
      <c r="S16" s="183">
        <f t="shared" si="1"/>
        <v>66666666.666666664</v>
      </c>
    </row>
    <row r="17" spans="2:19" x14ac:dyDescent="0.25">
      <c r="B17" s="186"/>
      <c r="C17" s="187"/>
      <c r="D17" s="178" t="str">
        <f>+'Tablero de Control'!D21</f>
        <v>TRATAMIENTO</v>
      </c>
      <c r="E17" s="179" t="str">
        <f>+'Tablero de Control'!E21</f>
        <v>ACTIVO 4*</v>
      </c>
      <c r="F17" s="180">
        <f>+'Tablero de Control'!F21</f>
        <v>3</v>
      </c>
      <c r="G17" s="181">
        <f>+'Tablero de Control'!H21</f>
        <v>1800000000</v>
      </c>
      <c r="H17" s="182">
        <f>+VLOOKUP(E17,'Tablero de Control'!$E$18:$I$24,5,FALSE)</f>
        <v>40</v>
      </c>
      <c r="I17" s="183" t="str">
        <f t="shared" si="0"/>
        <v/>
      </c>
      <c r="J17" s="183">
        <f t="shared" si="1"/>
        <v>0</v>
      </c>
      <c r="K17" s="183">
        <f t="shared" si="1"/>
        <v>0</v>
      </c>
      <c r="L17" s="183">
        <f t="shared" si="1"/>
        <v>0</v>
      </c>
      <c r="M17" s="183">
        <f t="shared" si="1"/>
        <v>45000000</v>
      </c>
      <c r="N17" s="183">
        <f t="shared" si="1"/>
        <v>45000000</v>
      </c>
      <c r="O17" s="183">
        <f t="shared" si="1"/>
        <v>45000000</v>
      </c>
      <c r="P17" s="183">
        <f t="shared" si="1"/>
        <v>45000000</v>
      </c>
      <c r="Q17" s="183">
        <f t="shared" si="1"/>
        <v>45000000</v>
      </c>
      <c r="R17" s="183">
        <f t="shared" si="1"/>
        <v>45000000</v>
      </c>
      <c r="S17" s="183">
        <f t="shared" si="1"/>
        <v>45000000</v>
      </c>
    </row>
    <row r="18" spans="2:19" x14ac:dyDescent="0.25">
      <c r="B18" s="179" t="str">
        <f>+'Tablero de Control'!B22</f>
        <v>ACUEDUCTO</v>
      </c>
      <c r="C18" s="178" t="str">
        <f>+'Tablero de Control'!C22</f>
        <v>TRANSPORTE DE AGUA POTABLE</v>
      </c>
      <c r="D18" s="178" t="str">
        <f>+'Tablero de Control'!D22</f>
        <v xml:space="preserve">CONDUCCIÓN </v>
      </c>
      <c r="E18" s="179" t="str">
        <f>+'Tablero de Control'!E22</f>
        <v>ACTIVO 5</v>
      </c>
      <c r="F18" s="180">
        <f>+'Tablero de Control'!F22</f>
        <v>2</v>
      </c>
      <c r="G18" s="181">
        <f>+'Tablero de Control'!H22</f>
        <v>8000000000</v>
      </c>
      <c r="H18" s="182">
        <f>+VLOOKUP(E18,'Tablero de Control'!$E$18:$I$24,5,FALSE)</f>
        <v>40</v>
      </c>
      <c r="I18" s="183" t="str">
        <f t="shared" si="0"/>
        <v/>
      </c>
      <c r="J18" s="183">
        <f t="shared" si="1"/>
        <v>0</v>
      </c>
      <c r="K18" s="183">
        <f t="shared" si="1"/>
        <v>0</v>
      </c>
      <c r="L18" s="183">
        <f t="shared" si="1"/>
        <v>200000000</v>
      </c>
      <c r="M18" s="183">
        <f t="shared" si="1"/>
        <v>200000000</v>
      </c>
      <c r="N18" s="183">
        <f t="shared" si="1"/>
        <v>200000000</v>
      </c>
      <c r="O18" s="183">
        <f t="shared" si="1"/>
        <v>200000000</v>
      </c>
      <c r="P18" s="183">
        <f t="shared" si="1"/>
        <v>200000000</v>
      </c>
      <c r="Q18" s="183">
        <f t="shared" si="1"/>
        <v>200000000</v>
      </c>
      <c r="R18" s="183">
        <f t="shared" si="1"/>
        <v>200000000</v>
      </c>
      <c r="S18" s="183">
        <f t="shared" si="1"/>
        <v>200000000</v>
      </c>
    </row>
    <row r="19" spans="2:19" ht="26.4" x14ac:dyDescent="0.25">
      <c r="B19" s="179" t="str">
        <f>+'Tablero de Control'!B23</f>
        <v>ALCANTARILLADO</v>
      </c>
      <c r="C19" s="178" t="str">
        <f>+'Tablero de Control'!C23</f>
        <v>RECOLECCIÓN Y TRANSPORTE DE AGUAS RESIDUALES</v>
      </c>
      <c r="D19" s="178" t="str">
        <f>+'Tablero de Control'!D23</f>
        <v>ELEVACIÓN Y BOMBEO</v>
      </c>
      <c r="E19" s="179" t="str">
        <f>+'Tablero de Control'!E23</f>
        <v>ACTIVO 6</v>
      </c>
      <c r="F19" s="180">
        <f>+'Tablero de Control'!F23</f>
        <v>2</v>
      </c>
      <c r="G19" s="181">
        <f>+'Tablero de Control'!H23</f>
        <v>2500000000</v>
      </c>
      <c r="H19" s="182">
        <f>+VLOOKUP(E19,'Tablero de Control'!$E$18:$I$24,5,FALSE)</f>
        <v>35</v>
      </c>
      <c r="I19" s="183" t="str">
        <f t="shared" si="0"/>
        <v/>
      </c>
      <c r="J19" s="183">
        <f t="shared" si="1"/>
        <v>0</v>
      </c>
      <c r="K19" s="183">
        <f t="shared" si="1"/>
        <v>0</v>
      </c>
      <c r="L19" s="183">
        <f t="shared" si="1"/>
        <v>71428571.428571433</v>
      </c>
      <c r="M19" s="183">
        <f t="shared" si="1"/>
        <v>71428571.428571433</v>
      </c>
      <c r="N19" s="183">
        <f t="shared" si="1"/>
        <v>71428571.428571433</v>
      </c>
      <c r="O19" s="183">
        <f t="shared" si="1"/>
        <v>71428571.428571433</v>
      </c>
      <c r="P19" s="183">
        <f t="shared" si="1"/>
        <v>71428571.428571433</v>
      </c>
      <c r="Q19" s="183">
        <f t="shared" si="1"/>
        <v>71428571.428571433</v>
      </c>
      <c r="R19" s="183">
        <f t="shared" si="1"/>
        <v>71428571.428571433</v>
      </c>
      <c r="S19" s="183">
        <f t="shared" si="1"/>
        <v>71428571.428571433</v>
      </c>
    </row>
    <row r="20" spans="2:19" ht="26.4" x14ac:dyDescent="0.25">
      <c r="B20" s="179" t="str">
        <f>+'Tablero de Control'!B24</f>
        <v>ALCANTARILLADO</v>
      </c>
      <c r="C20" s="178" t="str">
        <f>+'Tablero de Control'!C24</f>
        <v>TRATAMIENTO Y/O DISPOSICIÓN FINAL DE AGUAS RESIDUALES</v>
      </c>
      <c r="D20" s="178" t="str">
        <f>+'Tablero de Control'!D24</f>
        <v>DISPOSICIÓN FINAL</v>
      </c>
      <c r="E20" s="179" t="str">
        <f>+'Tablero de Control'!E24</f>
        <v>ACTIVO 7</v>
      </c>
      <c r="F20" s="180">
        <f>+'Tablero de Control'!F24</f>
        <v>8</v>
      </c>
      <c r="G20" s="181">
        <f>+'Tablero de Control'!H24</f>
        <v>3000000000</v>
      </c>
      <c r="H20" s="182">
        <f>+VLOOKUP(E20,'Tablero de Control'!$E$18:$I$24,5,FALSE)</f>
        <v>30</v>
      </c>
      <c r="I20" s="183" t="str">
        <f t="shared" si="0"/>
        <v/>
      </c>
      <c r="J20" s="183">
        <f t="shared" si="1"/>
        <v>0</v>
      </c>
      <c r="K20" s="183">
        <f t="shared" si="1"/>
        <v>0</v>
      </c>
      <c r="L20" s="183">
        <f t="shared" si="1"/>
        <v>0</v>
      </c>
      <c r="M20" s="183">
        <f t="shared" si="1"/>
        <v>0</v>
      </c>
      <c r="N20" s="183">
        <f t="shared" si="1"/>
        <v>0</v>
      </c>
      <c r="O20" s="183">
        <f t="shared" si="1"/>
        <v>0</v>
      </c>
      <c r="P20" s="183">
        <f t="shared" si="1"/>
        <v>0</v>
      </c>
      <c r="Q20" s="183">
        <f t="shared" si="1"/>
        <v>0</v>
      </c>
      <c r="R20" s="183">
        <f t="shared" si="1"/>
        <v>100000000</v>
      </c>
      <c r="S20" s="183">
        <f t="shared" si="1"/>
        <v>100000000</v>
      </c>
    </row>
    <row r="22" spans="2:19" ht="20.399999999999999" thickBot="1" x14ac:dyDescent="0.45">
      <c r="B22" s="173" t="s">
        <v>55</v>
      </c>
      <c r="C22" s="173"/>
      <c r="D22" s="173"/>
      <c r="E22" s="173"/>
      <c r="F22" s="173"/>
      <c r="G22" s="173"/>
    </row>
    <row r="23" spans="2:19" ht="13.8" thickTop="1" x14ac:dyDescent="0.25"/>
    <row r="24" spans="2:19" ht="26.4" x14ac:dyDescent="0.25">
      <c r="B24" s="174" t="s">
        <v>118</v>
      </c>
      <c r="C24" s="174" t="s">
        <v>119</v>
      </c>
      <c r="D24" s="174" t="str">
        <f>+D13</f>
        <v>Actividad del activo j</v>
      </c>
      <c r="E24" s="174" t="str">
        <f>+E13</f>
        <v>Identificación del activo</v>
      </c>
      <c r="F24" s="174" t="str">
        <f>+F13</f>
        <v>Año planeado</v>
      </c>
      <c r="G24" s="174" t="str">
        <f>+G13</f>
        <v>Valor POIR planeado del activo j</v>
      </c>
      <c r="H24" s="174" t="str">
        <f>+H13</f>
        <v>Vida Útil</v>
      </c>
      <c r="I24" s="188">
        <v>0</v>
      </c>
      <c r="J24" s="188">
        <v>1</v>
      </c>
      <c r="K24" s="188">
        <v>2</v>
      </c>
      <c r="L24" s="188">
        <v>3</v>
      </c>
      <c r="M24" s="188">
        <v>4</v>
      </c>
      <c r="N24" s="188">
        <v>5</v>
      </c>
      <c r="O24" s="188">
        <v>6</v>
      </c>
      <c r="P24" s="188">
        <v>7</v>
      </c>
      <c r="Q24" s="188">
        <v>8</v>
      </c>
      <c r="R24" s="188">
        <v>9</v>
      </c>
      <c r="S24" s="188">
        <v>10</v>
      </c>
    </row>
    <row r="25" spans="2:19" x14ac:dyDescent="0.25">
      <c r="B25" s="176" t="str">
        <f t="shared" ref="B25:G25" si="2">+B14</f>
        <v>ACUEDUCTO</v>
      </c>
      <c r="C25" s="177" t="str">
        <f t="shared" si="2"/>
        <v>PRODUCCIÓN DE AGUA POTABLE</v>
      </c>
      <c r="D25" s="178" t="str">
        <f t="shared" si="2"/>
        <v>CAPTACIÓN</v>
      </c>
      <c r="E25" s="179" t="str">
        <f t="shared" si="2"/>
        <v>ACTIVO 1</v>
      </c>
      <c r="F25" s="189">
        <f t="shared" si="2"/>
        <v>2</v>
      </c>
      <c r="G25" s="190">
        <f t="shared" si="2"/>
        <v>1100000000</v>
      </c>
      <c r="H25" s="182">
        <f>+VLOOKUP(E25,'Tablero de Control'!$E$18:$I$24,5,FALSE)</f>
        <v>40</v>
      </c>
      <c r="I25" s="183" t="str">
        <f t="shared" ref="I25:I31" si="3">+IF($F14=I$24,$G14,IF($F14&gt;I$24,"",S14-I14))</f>
        <v/>
      </c>
      <c r="J25" s="183">
        <f t="shared" ref="J25:S25" si="4">+IF($F14=J$24,$G14,IF($F14&gt;J$24,0,I25-J14))</f>
        <v>0</v>
      </c>
      <c r="K25" s="183">
        <f t="shared" si="4"/>
        <v>1100000000</v>
      </c>
      <c r="L25" s="183">
        <f t="shared" si="4"/>
        <v>1072500000</v>
      </c>
      <c r="M25" s="183">
        <f t="shared" si="4"/>
        <v>1045000000</v>
      </c>
      <c r="N25" s="183">
        <f t="shared" si="4"/>
        <v>1017500000</v>
      </c>
      <c r="O25" s="183">
        <f t="shared" si="4"/>
        <v>990000000</v>
      </c>
      <c r="P25" s="183">
        <f t="shared" si="4"/>
        <v>962500000</v>
      </c>
      <c r="Q25" s="183">
        <f t="shared" si="4"/>
        <v>935000000</v>
      </c>
      <c r="R25" s="183">
        <f t="shared" si="4"/>
        <v>907500000</v>
      </c>
      <c r="S25" s="183">
        <f t="shared" si="4"/>
        <v>880000000</v>
      </c>
    </row>
    <row r="26" spans="2:19" x14ac:dyDescent="0.25">
      <c r="B26" s="184"/>
      <c r="C26" s="185"/>
      <c r="D26" s="178" t="str">
        <f t="shared" ref="D26:G31" si="5">+D15</f>
        <v xml:space="preserve">ADUCCIÓN </v>
      </c>
      <c r="E26" s="179" t="str">
        <f t="shared" si="5"/>
        <v>ACTIVO 2</v>
      </c>
      <c r="F26" s="189">
        <f t="shared" si="5"/>
        <v>5</v>
      </c>
      <c r="G26" s="190">
        <f t="shared" si="5"/>
        <v>1500000000</v>
      </c>
      <c r="H26" s="182">
        <f>+VLOOKUP(E26,'Tablero de Control'!$E$18:$I$24,5,FALSE)</f>
        <v>40</v>
      </c>
      <c r="I26" s="183" t="str">
        <f t="shared" si="3"/>
        <v/>
      </c>
      <c r="J26" s="183">
        <f t="shared" ref="J26:S26" si="6">+IF($F15=J$24,$G15,IF($F15&gt;J$24,0,I26-J15))</f>
        <v>0</v>
      </c>
      <c r="K26" s="183">
        <f t="shared" si="6"/>
        <v>0</v>
      </c>
      <c r="L26" s="183">
        <f t="shared" si="6"/>
        <v>0</v>
      </c>
      <c r="M26" s="183">
        <f t="shared" si="6"/>
        <v>0</v>
      </c>
      <c r="N26" s="183">
        <f t="shared" si="6"/>
        <v>1500000000</v>
      </c>
      <c r="O26" s="183">
        <f t="shared" si="6"/>
        <v>1462500000</v>
      </c>
      <c r="P26" s="183">
        <f t="shared" si="6"/>
        <v>1425000000</v>
      </c>
      <c r="Q26" s="183">
        <f t="shared" si="6"/>
        <v>1387500000</v>
      </c>
      <c r="R26" s="183">
        <f t="shared" si="6"/>
        <v>1350000000</v>
      </c>
      <c r="S26" s="183">
        <f t="shared" si="6"/>
        <v>1312500000</v>
      </c>
    </row>
    <row r="27" spans="2:19" x14ac:dyDescent="0.25">
      <c r="B27" s="184"/>
      <c r="C27" s="185"/>
      <c r="D27" s="178" t="str">
        <f t="shared" si="5"/>
        <v>PRETRATAMIENTO</v>
      </c>
      <c r="E27" s="179" t="str">
        <f t="shared" si="5"/>
        <v>ACTIVO 3</v>
      </c>
      <c r="F27" s="189">
        <f t="shared" si="5"/>
        <v>4</v>
      </c>
      <c r="G27" s="190">
        <f t="shared" si="5"/>
        <v>2000000000</v>
      </c>
      <c r="H27" s="182">
        <f>+VLOOKUP(E27,'Tablero de Control'!$E$18:$I$24,5,FALSE)</f>
        <v>30</v>
      </c>
      <c r="I27" s="183" t="str">
        <f t="shared" si="3"/>
        <v/>
      </c>
      <c r="J27" s="183">
        <f t="shared" ref="J27:S27" si="7">+IF($F16=J$24,$G16,IF($F16&gt;J$24,0,I27-J16))</f>
        <v>0</v>
      </c>
      <c r="K27" s="183">
        <f t="shared" si="7"/>
        <v>0</v>
      </c>
      <c r="L27" s="183">
        <f t="shared" si="7"/>
        <v>0</v>
      </c>
      <c r="M27" s="183">
        <f t="shared" si="7"/>
        <v>2000000000</v>
      </c>
      <c r="N27" s="183">
        <f t="shared" si="7"/>
        <v>1933333333.3333333</v>
      </c>
      <c r="O27" s="183">
        <f t="shared" si="7"/>
        <v>1866666666.6666665</v>
      </c>
      <c r="P27" s="183">
        <f t="shared" si="7"/>
        <v>1799999999.9999998</v>
      </c>
      <c r="Q27" s="183">
        <f t="shared" si="7"/>
        <v>1733333333.333333</v>
      </c>
      <c r="R27" s="183">
        <f t="shared" si="7"/>
        <v>1666666666.6666663</v>
      </c>
      <c r="S27" s="183">
        <f t="shared" si="7"/>
        <v>1599999999.9999995</v>
      </c>
    </row>
    <row r="28" spans="2:19" x14ac:dyDescent="0.25">
      <c r="B28" s="186"/>
      <c r="C28" s="187"/>
      <c r="D28" s="178" t="str">
        <f t="shared" si="5"/>
        <v>TRATAMIENTO</v>
      </c>
      <c r="E28" s="179" t="str">
        <f t="shared" si="5"/>
        <v>ACTIVO 4*</v>
      </c>
      <c r="F28" s="189">
        <f t="shared" si="5"/>
        <v>3</v>
      </c>
      <c r="G28" s="190">
        <f t="shared" si="5"/>
        <v>1800000000</v>
      </c>
      <c r="H28" s="182">
        <f>+VLOOKUP(E28,'Tablero de Control'!$E$18:$I$24,5,FALSE)</f>
        <v>40</v>
      </c>
      <c r="I28" s="183" t="str">
        <f t="shared" si="3"/>
        <v/>
      </c>
      <c r="J28" s="183">
        <f t="shared" ref="J28:S28" si="8">+IF($F17=J$24,$G17,IF($F17&gt;J$24,0,I28-J17))</f>
        <v>0</v>
      </c>
      <c r="K28" s="183">
        <f t="shared" si="8"/>
        <v>0</v>
      </c>
      <c r="L28" s="183">
        <f t="shared" si="8"/>
        <v>1800000000</v>
      </c>
      <c r="M28" s="183">
        <f t="shared" si="8"/>
        <v>1755000000</v>
      </c>
      <c r="N28" s="183">
        <f t="shared" si="8"/>
        <v>1710000000</v>
      </c>
      <c r="O28" s="183">
        <f t="shared" si="8"/>
        <v>1665000000</v>
      </c>
      <c r="P28" s="183">
        <f t="shared" si="8"/>
        <v>1620000000</v>
      </c>
      <c r="Q28" s="183">
        <f t="shared" si="8"/>
        <v>1575000000</v>
      </c>
      <c r="R28" s="183">
        <f t="shared" si="8"/>
        <v>1530000000</v>
      </c>
      <c r="S28" s="183">
        <f t="shared" si="8"/>
        <v>1485000000</v>
      </c>
    </row>
    <row r="29" spans="2:19" x14ac:dyDescent="0.25">
      <c r="B29" s="179" t="str">
        <f>+B18</f>
        <v>ACUEDUCTO</v>
      </c>
      <c r="C29" s="178" t="str">
        <f>+C18</f>
        <v>TRANSPORTE DE AGUA POTABLE</v>
      </c>
      <c r="D29" s="178" t="str">
        <f t="shared" si="5"/>
        <v xml:space="preserve">CONDUCCIÓN </v>
      </c>
      <c r="E29" s="179" t="str">
        <f t="shared" si="5"/>
        <v>ACTIVO 5</v>
      </c>
      <c r="F29" s="189">
        <f t="shared" si="5"/>
        <v>2</v>
      </c>
      <c r="G29" s="190">
        <f t="shared" si="5"/>
        <v>8000000000</v>
      </c>
      <c r="H29" s="182">
        <f>+VLOOKUP(E29,'Tablero de Control'!$E$18:$I$24,5,FALSE)</f>
        <v>40</v>
      </c>
      <c r="I29" s="183" t="str">
        <f t="shared" si="3"/>
        <v/>
      </c>
      <c r="J29" s="183">
        <f t="shared" ref="J29:S29" si="9">+IF($F18=J$24,$G18,IF($F18&gt;J$24,0,I29-J18))</f>
        <v>0</v>
      </c>
      <c r="K29" s="183">
        <f t="shared" si="9"/>
        <v>8000000000</v>
      </c>
      <c r="L29" s="183">
        <f t="shared" si="9"/>
        <v>7800000000</v>
      </c>
      <c r="M29" s="183">
        <f t="shared" si="9"/>
        <v>7600000000</v>
      </c>
      <c r="N29" s="183">
        <f t="shared" si="9"/>
        <v>7400000000</v>
      </c>
      <c r="O29" s="183">
        <f t="shared" si="9"/>
        <v>7200000000</v>
      </c>
      <c r="P29" s="183">
        <f t="shared" si="9"/>
        <v>7000000000</v>
      </c>
      <c r="Q29" s="183">
        <f t="shared" si="9"/>
        <v>6800000000</v>
      </c>
      <c r="R29" s="183">
        <f t="shared" si="9"/>
        <v>6600000000</v>
      </c>
      <c r="S29" s="183">
        <f t="shared" si="9"/>
        <v>6400000000</v>
      </c>
    </row>
    <row r="30" spans="2:19" ht="26.4" x14ac:dyDescent="0.25">
      <c r="B30" s="179" t="str">
        <f t="shared" ref="B30:C31" si="10">+B19</f>
        <v>ALCANTARILLADO</v>
      </c>
      <c r="C30" s="178" t="str">
        <f t="shared" si="10"/>
        <v>RECOLECCIÓN Y TRANSPORTE DE AGUAS RESIDUALES</v>
      </c>
      <c r="D30" s="178" t="str">
        <f t="shared" si="5"/>
        <v>ELEVACIÓN Y BOMBEO</v>
      </c>
      <c r="E30" s="179" t="str">
        <f t="shared" si="5"/>
        <v>ACTIVO 6</v>
      </c>
      <c r="F30" s="189">
        <f t="shared" si="5"/>
        <v>2</v>
      </c>
      <c r="G30" s="190">
        <f t="shared" si="5"/>
        <v>2500000000</v>
      </c>
      <c r="H30" s="182">
        <f>+VLOOKUP(E30,'Tablero de Control'!$E$18:$I$24,5,FALSE)</f>
        <v>35</v>
      </c>
      <c r="I30" s="183" t="str">
        <f t="shared" si="3"/>
        <v/>
      </c>
      <c r="J30" s="183">
        <f t="shared" ref="J30:S30" si="11">+IF($F19=J$24,$G19,IF($F19&gt;J$24,0,I30-J19))</f>
        <v>0</v>
      </c>
      <c r="K30" s="183">
        <f t="shared" si="11"/>
        <v>2500000000</v>
      </c>
      <c r="L30" s="183">
        <f t="shared" si="11"/>
        <v>2428571428.5714288</v>
      </c>
      <c r="M30" s="183">
        <f t="shared" si="11"/>
        <v>2357142857.1428576</v>
      </c>
      <c r="N30" s="183">
        <f t="shared" si="11"/>
        <v>2285714285.7142863</v>
      </c>
      <c r="O30" s="183">
        <f t="shared" si="11"/>
        <v>2214285714.2857151</v>
      </c>
      <c r="P30" s="183">
        <f t="shared" si="11"/>
        <v>2142857142.8571436</v>
      </c>
      <c r="Q30" s="183">
        <f t="shared" si="11"/>
        <v>2071428571.4285722</v>
      </c>
      <c r="R30" s="183">
        <f t="shared" si="11"/>
        <v>2000000000.0000007</v>
      </c>
      <c r="S30" s="183">
        <f t="shared" si="11"/>
        <v>1928571428.5714293</v>
      </c>
    </row>
    <row r="31" spans="2:19" ht="26.4" x14ac:dyDescent="0.25">
      <c r="B31" s="179" t="str">
        <f t="shared" si="10"/>
        <v>ALCANTARILLADO</v>
      </c>
      <c r="C31" s="178" t="str">
        <f t="shared" si="10"/>
        <v>TRATAMIENTO Y/O DISPOSICIÓN FINAL DE AGUAS RESIDUALES</v>
      </c>
      <c r="D31" s="178" t="str">
        <f t="shared" si="5"/>
        <v>DISPOSICIÓN FINAL</v>
      </c>
      <c r="E31" s="179" t="str">
        <f t="shared" si="5"/>
        <v>ACTIVO 7</v>
      </c>
      <c r="F31" s="189">
        <f t="shared" si="5"/>
        <v>8</v>
      </c>
      <c r="G31" s="190">
        <f t="shared" si="5"/>
        <v>3000000000</v>
      </c>
      <c r="H31" s="182">
        <f>+VLOOKUP(E31,'Tablero de Control'!$E$18:$I$24,5,FALSE)</f>
        <v>30</v>
      </c>
      <c r="I31" s="183" t="str">
        <f t="shared" si="3"/>
        <v/>
      </c>
      <c r="J31" s="183">
        <f t="shared" ref="J31:S31" si="12">+IF($F20=J$24,$G20,IF($F20&gt;J$24,0,I31-J20))</f>
        <v>0</v>
      </c>
      <c r="K31" s="183">
        <f t="shared" si="12"/>
        <v>0</v>
      </c>
      <c r="L31" s="183">
        <f t="shared" si="12"/>
        <v>0</v>
      </c>
      <c r="M31" s="183">
        <f t="shared" si="12"/>
        <v>0</v>
      </c>
      <c r="N31" s="183">
        <f t="shared" si="12"/>
        <v>0</v>
      </c>
      <c r="O31" s="183">
        <f t="shared" si="12"/>
        <v>0</v>
      </c>
      <c r="P31" s="183">
        <f t="shared" si="12"/>
        <v>0</v>
      </c>
      <c r="Q31" s="183">
        <f t="shared" si="12"/>
        <v>3000000000</v>
      </c>
      <c r="R31" s="183">
        <f t="shared" si="12"/>
        <v>2900000000</v>
      </c>
      <c r="S31" s="183">
        <f t="shared" si="12"/>
        <v>2800000000</v>
      </c>
    </row>
    <row r="33" spans="2:19" ht="20.399999999999999" thickBot="1" x14ac:dyDescent="0.45">
      <c r="B33" s="173" t="s">
        <v>105</v>
      </c>
      <c r="C33" s="173"/>
      <c r="D33" s="173"/>
      <c r="E33" s="173"/>
      <c r="F33" s="173"/>
      <c r="G33" s="173"/>
    </row>
    <row r="34" spans="2:19" ht="13.8" thickTop="1" x14ac:dyDescent="0.25"/>
    <row r="35" spans="2:19" ht="26.4" x14ac:dyDescent="0.25">
      <c r="B35" s="174" t="s">
        <v>118</v>
      </c>
      <c r="C35" s="174" t="s">
        <v>119</v>
      </c>
      <c r="D35" s="174" t="str">
        <f>+D24</f>
        <v>Actividad del activo j</v>
      </c>
      <c r="E35" s="174" t="str">
        <f>+E24</f>
        <v>Identificación del activo</v>
      </c>
      <c r="F35" s="174" t="str">
        <f>+F24</f>
        <v>Año planeado</v>
      </c>
      <c r="G35" s="174" t="str">
        <f>+G24</f>
        <v>Valor POIR planeado del activo j</v>
      </c>
      <c r="H35" s="174" t="str">
        <f>+H24</f>
        <v>Vida Útil</v>
      </c>
      <c r="I35" s="174"/>
      <c r="J35" s="174" t="s">
        <v>104</v>
      </c>
      <c r="K35" s="174" t="s">
        <v>30</v>
      </c>
      <c r="L35" s="174" t="s">
        <v>31</v>
      </c>
      <c r="M35" s="174" t="s">
        <v>32</v>
      </c>
      <c r="N35" s="174" t="s">
        <v>33</v>
      </c>
      <c r="O35" s="174" t="s">
        <v>34</v>
      </c>
      <c r="P35" s="174" t="s">
        <v>35</v>
      </c>
      <c r="Q35" s="174" t="s">
        <v>36</v>
      </c>
      <c r="R35" s="174" t="s">
        <v>37</v>
      </c>
      <c r="S35" s="174" t="s">
        <v>38</v>
      </c>
    </row>
    <row r="36" spans="2:19" x14ac:dyDescent="0.25">
      <c r="B36" s="176" t="str">
        <f t="shared" ref="B36:G36" si="13">+B25</f>
        <v>ACUEDUCTO</v>
      </c>
      <c r="C36" s="177" t="str">
        <f t="shared" si="13"/>
        <v>PRODUCCIÓN DE AGUA POTABLE</v>
      </c>
      <c r="D36" s="178" t="str">
        <f t="shared" si="13"/>
        <v>CAPTACIÓN</v>
      </c>
      <c r="E36" s="179" t="str">
        <f t="shared" si="13"/>
        <v>ACTIVO 1</v>
      </c>
      <c r="F36" s="189">
        <f t="shared" si="13"/>
        <v>2</v>
      </c>
      <c r="G36" s="190">
        <f t="shared" si="13"/>
        <v>1100000000</v>
      </c>
      <c r="H36" s="182">
        <f>+VLOOKUP(E36,'Tablero de Control'!$E$18:$I$24,5,FALSE)</f>
        <v>40</v>
      </c>
      <c r="I36" s="183" t="str">
        <f t="shared" ref="I36:I42" si="14">+IFERROR(IF($F14&gt;I$24,"",H25*$C$8),"")</f>
        <v/>
      </c>
      <c r="J36" s="183">
        <f t="shared" ref="J36:S36" si="15">+IFERROR(IF($F14&gt;J$24,0,I25*$C$8),"")</f>
        <v>0</v>
      </c>
      <c r="K36" s="183">
        <f t="shared" si="15"/>
        <v>0</v>
      </c>
      <c r="L36" s="183">
        <f t="shared" si="15"/>
        <v>135080000</v>
      </c>
      <c r="M36" s="183">
        <f t="shared" si="15"/>
        <v>131703000</v>
      </c>
      <c r="N36" s="183">
        <f t="shared" si="15"/>
        <v>128326000</v>
      </c>
      <c r="O36" s="183">
        <f t="shared" si="15"/>
        <v>124949000</v>
      </c>
      <c r="P36" s="183">
        <f t="shared" si="15"/>
        <v>121572000</v>
      </c>
      <c r="Q36" s="183">
        <f t="shared" si="15"/>
        <v>118195000</v>
      </c>
      <c r="R36" s="183">
        <f t="shared" si="15"/>
        <v>114818000</v>
      </c>
      <c r="S36" s="183">
        <f t="shared" si="15"/>
        <v>111441000</v>
      </c>
    </row>
    <row r="37" spans="2:19" x14ac:dyDescent="0.25">
      <c r="B37" s="184"/>
      <c r="C37" s="185"/>
      <c r="D37" s="178" t="str">
        <f t="shared" ref="D37:G42" si="16">+D26</f>
        <v xml:space="preserve">ADUCCIÓN </v>
      </c>
      <c r="E37" s="179" t="str">
        <f t="shared" si="16"/>
        <v>ACTIVO 2</v>
      </c>
      <c r="F37" s="189">
        <f t="shared" si="16"/>
        <v>5</v>
      </c>
      <c r="G37" s="190">
        <f t="shared" si="16"/>
        <v>1500000000</v>
      </c>
      <c r="H37" s="182">
        <f>+VLOOKUP(E37,'Tablero de Control'!$E$18:$I$24,5,FALSE)</f>
        <v>40</v>
      </c>
      <c r="I37" s="183" t="str">
        <f t="shared" si="14"/>
        <v/>
      </c>
      <c r="J37" s="183">
        <f t="shared" ref="J37:S37" si="17">+IFERROR(IF($F15&gt;J$24,0,I26*$C$8),"")</f>
        <v>0</v>
      </c>
      <c r="K37" s="183">
        <f t="shared" si="17"/>
        <v>0</v>
      </c>
      <c r="L37" s="183">
        <f t="shared" si="17"/>
        <v>0</v>
      </c>
      <c r="M37" s="183">
        <f t="shared" si="17"/>
        <v>0</v>
      </c>
      <c r="N37" s="183">
        <f t="shared" si="17"/>
        <v>0</v>
      </c>
      <c r="O37" s="183">
        <f t="shared" si="17"/>
        <v>184200000</v>
      </c>
      <c r="P37" s="183">
        <f t="shared" si="17"/>
        <v>179595000</v>
      </c>
      <c r="Q37" s="183">
        <f t="shared" si="17"/>
        <v>174990000</v>
      </c>
      <c r="R37" s="183">
        <f t="shared" si="17"/>
        <v>170385000</v>
      </c>
      <c r="S37" s="183">
        <f t="shared" si="17"/>
        <v>165780000</v>
      </c>
    </row>
    <row r="38" spans="2:19" x14ac:dyDescent="0.25">
      <c r="B38" s="184"/>
      <c r="C38" s="185"/>
      <c r="D38" s="178" t="str">
        <f t="shared" si="16"/>
        <v>PRETRATAMIENTO</v>
      </c>
      <c r="E38" s="179" t="str">
        <f t="shared" si="16"/>
        <v>ACTIVO 3</v>
      </c>
      <c r="F38" s="189">
        <f t="shared" si="16"/>
        <v>4</v>
      </c>
      <c r="G38" s="190">
        <f t="shared" si="16"/>
        <v>2000000000</v>
      </c>
      <c r="H38" s="182">
        <f>+VLOOKUP(E38,'Tablero de Control'!$E$18:$I$24,5,FALSE)</f>
        <v>30</v>
      </c>
      <c r="I38" s="183" t="str">
        <f t="shared" si="14"/>
        <v/>
      </c>
      <c r="J38" s="183">
        <f t="shared" ref="J38:S38" si="18">+IFERROR(IF($F16&gt;J$24,0,I27*$C$8),"")</f>
        <v>0</v>
      </c>
      <c r="K38" s="183">
        <f t="shared" si="18"/>
        <v>0</v>
      </c>
      <c r="L38" s="183">
        <f t="shared" si="18"/>
        <v>0</v>
      </c>
      <c r="M38" s="183">
        <f t="shared" si="18"/>
        <v>0</v>
      </c>
      <c r="N38" s="183">
        <f t="shared" si="18"/>
        <v>245600000</v>
      </c>
      <c r="O38" s="183">
        <f t="shared" si="18"/>
        <v>237413333.33333334</v>
      </c>
      <c r="P38" s="183">
        <f t="shared" si="18"/>
        <v>229226666.66666666</v>
      </c>
      <c r="Q38" s="183">
        <f t="shared" si="18"/>
        <v>221039999.99999997</v>
      </c>
      <c r="R38" s="183">
        <f t="shared" si="18"/>
        <v>212853333.33333331</v>
      </c>
      <c r="S38" s="183">
        <f t="shared" si="18"/>
        <v>204666666.66666663</v>
      </c>
    </row>
    <row r="39" spans="2:19" x14ac:dyDescent="0.25">
      <c r="B39" s="186"/>
      <c r="C39" s="187"/>
      <c r="D39" s="178" t="str">
        <f t="shared" si="16"/>
        <v>TRATAMIENTO</v>
      </c>
      <c r="E39" s="179" t="str">
        <f t="shared" si="16"/>
        <v>ACTIVO 4*</v>
      </c>
      <c r="F39" s="189">
        <f t="shared" si="16"/>
        <v>3</v>
      </c>
      <c r="G39" s="190">
        <f t="shared" si="16"/>
        <v>1800000000</v>
      </c>
      <c r="H39" s="182">
        <f>+VLOOKUP(E39,'Tablero de Control'!$E$18:$I$24,5,FALSE)</f>
        <v>40</v>
      </c>
      <c r="I39" s="183" t="str">
        <f t="shared" si="14"/>
        <v/>
      </c>
      <c r="J39" s="183">
        <f t="shared" ref="J39:S39" si="19">+IFERROR(IF($F17&gt;J$24,0,I28*$C$8),"")</f>
        <v>0</v>
      </c>
      <c r="K39" s="183">
        <f t="shared" si="19"/>
        <v>0</v>
      </c>
      <c r="L39" s="183">
        <f t="shared" si="19"/>
        <v>0</v>
      </c>
      <c r="M39" s="183">
        <f t="shared" si="19"/>
        <v>221040000</v>
      </c>
      <c r="N39" s="183">
        <f t="shared" si="19"/>
        <v>215514000</v>
      </c>
      <c r="O39" s="183">
        <f t="shared" si="19"/>
        <v>209988000</v>
      </c>
      <c r="P39" s="183">
        <f t="shared" si="19"/>
        <v>204462000</v>
      </c>
      <c r="Q39" s="183">
        <f t="shared" si="19"/>
        <v>198936000</v>
      </c>
      <c r="R39" s="183">
        <f t="shared" si="19"/>
        <v>193410000</v>
      </c>
      <c r="S39" s="183">
        <f t="shared" si="19"/>
        <v>187884000</v>
      </c>
    </row>
    <row r="40" spans="2:19" x14ac:dyDescent="0.25">
      <c r="B40" s="179" t="str">
        <f>+B29</f>
        <v>ACUEDUCTO</v>
      </c>
      <c r="C40" s="178" t="str">
        <f>+C29</f>
        <v>TRANSPORTE DE AGUA POTABLE</v>
      </c>
      <c r="D40" s="178" t="str">
        <f t="shared" si="16"/>
        <v xml:space="preserve">CONDUCCIÓN </v>
      </c>
      <c r="E40" s="179" t="str">
        <f t="shared" si="16"/>
        <v>ACTIVO 5</v>
      </c>
      <c r="F40" s="189">
        <f t="shared" si="16"/>
        <v>2</v>
      </c>
      <c r="G40" s="190">
        <f t="shared" si="16"/>
        <v>8000000000</v>
      </c>
      <c r="H40" s="182">
        <f>+VLOOKUP(E40,'Tablero de Control'!$E$18:$I$24,5,FALSE)</f>
        <v>40</v>
      </c>
      <c r="I40" s="183" t="str">
        <f t="shared" si="14"/>
        <v/>
      </c>
      <c r="J40" s="183">
        <f t="shared" ref="J40:S40" si="20">+IFERROR(IF($F18&gt;J$24,0,I29*$C$8),"")</f>
        <v>0</v>
      </c>
      <c r="K40" s="183">
        <f t="shared" si="20"/>
        <v>0</v>
      </c>
      <c r="L40" s="183">
        <f t="shared" si="20"/>
        <v>982400000</v>
      </c>
      <c r="M40" s="183">
        <f t="shared" si="20"/>
        <v>957840000</v>
      </c>
      <c r="N40" s="183">
        <f t="shared" si="20"/>
        <v>933280000</v>
      </c>
      <c r="O40" s="183">
        <f t="shared" si="20"/>
        <v>908720000</v>
      </c>
      <c r="P40" s="183">
        <f t="shared" si="20"/>
        <v>884160000</v>
      </c>
      <c r="Q40" s="183">
        <f t="shared" si="20"/>
        <v>859600000</v>
      </c>
      <c r="R40" s="183">
        <f t="shared" si="20"/>
        <v>835040000</v>
      </c>
      <c r="S40" s="183">
        <f t="shared" si="20"/>
        <v>810480000</v>
      </c>
    </row>
    <row r="41" spans="2:19" ht="26.4" x14ac:dyDescent="0.25">
      <c r="B41" s="179" t="str">
        <f t="shared" ref="B41:C41" si="21">+B30</f>
        <v>ALCANTARILLADO</v>
      </c>
      <c r="C41" s="178" t="str">
        <f t="shared" si="21"/>
        <v>RECOLECCIÓN Y TRANSPORTE DE AGUAS RESIDUALES</v>
      </c>
      <c r="D41" s="178" t="str">
        <f t="shared" si="16"/>
        <v>ELEVACIÓN Y BOMBEO</v>
      </c>
      <c r="E41" s="179" t="str">
        <f t="shared" si="16"/>
        <v>ACTIVO 6</v>
      </c>
      <c r="F41" s="189">
        <f t="shared" si="16"/>
        <v>2</v>
      </c>
      <c r="G41" s="190">
        <f t="shared" si="16"/>
        <v>2500000000</v>
      </c>
      <c r="H41" s="182">
        <f>+VLOOKUP(E41,'Tablero de Control'!$E$18:$I$24,5,FALSE)</f>
        <v>35</v>
      </c>
      <c r="I41" s="183" t="str">
        <f t="shared" si="14"/>
        <v/>
      </c>
      <c r="J41" s="183">
        <f t="shared" ref="J41:S41" si="22">+IFERROR(IF($F19&gt;J$24,0,I30*$C$8),"")</f>
        <v>0</v>
      </c>
      <c r="K41" s="183">
        <f t="shared" si="22"/>
        <v>0</v>
      </c>
      <c r="L41" s="183">
        <f t="shared" si="22"/>
        <v>307000000</v>
      </c>
      <c r="M41" s="183">
        <f t="shared" si="22"/>
        <v>298228571.42857146</v>
      </c>
      <c r="N41" s="183">
        <f t="shared" si="22"/>
        <v>289457142.85714293</v>
      </c>
      <c r="O41" s="183">
        <f t="shared" si="22"/>
        <v>280685714.28571439</v>
      </c>
      <c r="P41" s="183">
        <f t="shared" si="22"/>
        <v>271914285.71428585</v>
      </c>
      <c r="Q41" s="183">
        <f t="shared" si="22"/>
        <v>263142857.14285725</v>
      </c>
      <c r="R41" s="183">
        <f t="shared" si="22"/>
        <v>254371428.57142869</v>
      </c>
      <c r="S41" s="183">
        <f t="shared" si="22"/>
        <v>245600000.00000009</v>
      </c>
    </row>
    <row r="42" spans="2:19" ht="26.4" x14ac:dyDescent="0.25">
      <c r="B42" s="179" t="str">
        <f t="shared" ref="B42:C42" si="23">+B31</f>
        <v>ALCANTARILLADO</v>
      </c>
      <c r="C42" s="178" t="str">
        <f t="shared" si="23"/>
        <v>TRATAMIENTO Y/O DISPOSICIÓN FINAL DE AGUAS RESIDUALES</v>
      </c>
      <c r="D42" s="178" t="str">
        <f t="shared" si="16"/>
        <v>DISPOSICIÓN FINAL</v>
      </c>
      <c r="E42" s="179" t="str">
        <f t="shared" si="16"/>
        <v>ACTIVO 7</v>
      </c>
      <c r="F42" s="189">
        <f t="shared" si="16"/>
        <v>8</v>
      </c>
      <c r="G42" s="190">
        <f t="shared" si="16"/>
        <v>3000000000</v>
      </c>
      <c r="H42" s="182">
        <f>+VLOOKUP(E42,'Tablero de Control'!$E$18:$I$24,5,FALSE)</f>
        <v>30</v>
      </c>
      <c r="I42" s="183" t="str">
        <f t="shared" si="14"/>
        <v/>
      </c>
      <c r="J42" s="183">
        <f t="shared" ref="J42:S42" si="24">+IFERROR(IF($F20&gt;J$24,0,I31*$C$8),"")</f>
        <v>0</v>
      </c>
      <c r="K42" s="183">
        <f t="shared" si="24"/>
        <v>0</v>
      </c>
      <c r="L42" s="183">
        <f t="shared" si="24"/>
        <v>0</v>
      </c>
      <c r="M42" s="183">
        <f t="shared" si="24"/>
        <v>0</v>
      </c>
      <c r="N42" s="183">
        <f t="shared" si="24"/>
        <v>0</v>
      </c>
      <c r="O42" s="183">
        <f t="shared" si="24"/>
        <v>0</v>
      </c>
      <c r="P42" s="183">
        <f t="shared" si="24"/>
        <v>0</v>
      </c>
      <c r="Q42" s="183">
        <f t="shared" si="24"/>
        <v>0</v>
      </c>
      <c r="R42" s="183">
        <f t="shared" si="24"/>
        <v>368400000</v>
      </c>
      <c r="S42" s="183">
        <f t="shared" si="24"/>
        <v>356120000</v>
      </c>
    </row>
    <row r="44" spans="2:19" ht="20.399999999999999" thickBot="1" x14ac:dyDescent="0.45">
      <c r="B44" s="173" t="s">
        <v>57</v>
      </c>
      <c r="C44" s="173"/>
      <c r="D44" s="173"/>
      <c r="E44" s="173"/>
      <c r="F44" s="173"/>
      <c r="G44" s="173"/>
    </row>
    <row r="45" spans="2:19" ht="13.8" thickTop="1" x14ac:dyDescent="0.25"/>
    <row r="46" spans="2:19" ht="26.4" x14ac:dyDescent="0.25">
      <c r="B46" s="174" t="s">
        <v>118</v>
      </c>
      <c r="C46" s="174" t="s">
        <v>119</v>
      </c>
      <c r="D46" s="174" t="str">
        <f>+D35</f>
        <v>Actividad del activo j</v>
      </c>
      <c r="E46" s="174" t="str">
        <f>+E35</f>
        <v>Identificación del activo</v>
      </c>
      <c r="F46" s="174" t="str">
        <f>+F35</f>
        <v>Año planeado</v>
      </c>
      <c r="G46" s="174" t="str">
        <f>+G35</f>
        <v>Valor POIR planeado del activo j</v>
      </c>
      <c r="H46" s="174" t="str">
        <f>+H35</f>
        <v>Vida Útil</v>
      </c>
      <c r="I46" s="191">
        <v>0</v>
      </c>
      <c r="J46" s="191">
        <v>1</v>
      </c>
      <c r="K46" s="191">
        <v>2</v>
      </c>
      <c r="L46" s="191">
        <v>3</v>
      </c>
      <c r="M46" s="191">
        <v>4</v>
      </c>
      <c r="N46" s="191">
        <v>5</v>
      </c>
      <c r="O46" s="191">
        <v>6</v>
      </c>
      <c r="P46" s="191">
        <v>7</v>
      </c>
      <c r="Q46" s="191">
        <v>8</v>
      </c>
      <c r="R46" s="191">
        <v>9</v>
      </c>
      <c r="S46" s="191">
        <v>10</v>
      </c>
    </row>
    <row r="47" spans="2:19" x14ac:dyDescent="0.25">
      <c r="B47" s="176" t="str">
        <f t="shared" ref="B47:G47" si="25">+B36</f>
        <v>ACUEDUCTO</v>
      </c>
      <c r="C47" s="177" t="str">
        <f t="shared" si="25"/>
        <v>PRODUCCIÓN DE AGUA POTABLE</v>
      </c>
      <c r="D47" s="178" t="str">
        <f t="shared" si="25"/>
        <v>CAPTACIÓN</v>
      </c>
      <c r="E47" s="179" t="str">
        <f t="shared" si="25"/>
        <v>ACTIVO 1</v>
      </c>
      <c r="F47" s="189">
        <f t="shared" si="25"/>
        <v>2</v>
      </c>
      <c r="G47" s="190">
        <f t="shared" si="25"/>
        <v>1100000000</v>
      </c>
      <c r="H47" s="182">
        <f>+VLOOKUP(E47,'Tablero de Control'!$E$18:$I$24,5,FALSE)</f>
        <v>40</v>
      </c>
      <c r="I47" s="183" t="str">
        <f t="shared" ref="I47:S47" si="26">+IFERROR(I36+I14,"")</f>
        <v/>
      </c>
      <c r="J47" s="183">
        <f t="shared" si="26"/>
        <v>0</v>
      </c>
      <c r="K47" s="183">
        <f t="shared" si="26"/>
        <v>0</v>
      </c>
      <c r="L47" s="183">
        <f t="shared" si="26"/>
        <v>162580000</v>
      </c>
      <c r="M47" s="183">
        <f t="shared" si="26"/>
        <v>159203000</v>
      </c>
      <c r="N47" s="183">
        <f t="shared" si="26"/>
        <v>155826000</v>
      </c>
      <c r="O47" s="183">
        <f t="shared" si="26"/>
        <v>152449000</v>
      </c>
      <c r="P47" s="183">
        <f t="shared" si="26"/>
        <v>149072000</v>
      </c>
      <c r="Q47" s="183">
        <f t="shared" si="26"/>
        <v>145695000</v>
      </c>
      <c r="R47" s="183">
        <f t="shared" si="26"/>
        <v>142318000</v>
      </c>
      <c r="S47" s="183">
        <f t="shared" si="26"/>
        <v>138941000</v>
      </c>
    </row>
    <row r="48" spans="2:19" x14ac:dyDescent="0.25">
      <c r="B48" s="184"/>
      <c r="C48" s="185"/>
      <c r="D48" s="178" t="str">
        <f t="shared" ref="D48:G53" si="27">+D37</f>
        <v xml:space="preserve">ADUCCIÓN </v>
      </c>
      <c r="E48" s="179" t="str">
        <f t="shared" si="27"/>
        <v>ACTIVO 2</v>
      </c>
      <c r="F48" s="189">
        <f t="shared" si="27"/>
        <v>5</v>
      </c>
      <c r="G48" s="190">
        <f t="shared" si="27"/>
        <v>1500000000</v>
      </c>
      <c r="H48" s="182">
        <f>+VLOOKUP(E48,'Tablero de Control'!$E$18:$I$24,5,FALSE)</f>
        <v>40</v>
      </c>
      <c r="I48" s="183" t="str">
        <f t="shared" ref="I48:S48" si="28">+IFERROR(I37+I15,"")</f>
        <v/>
      </c>
      <c r="J48" s="183">
        <f t="shared" si="28"/>
        <v>0</v>
      </c>
      <c r="K48" s="183">
        <f t="shared" si="28"/>
        <v>0</v>
      </c>
      <c r="L48" s="183">
        <f t="shared" si="28"/>
        <v>0</v>
      </c>
      <c r="M48" s="183">
        <f t="shared" si="28"/>
        <v>0</v>
      </c>
      <c r="N48" s="183">
        <f t="shared" si="28"/>
        <v>0</v>
      </c>
      <c r="O48" s="183">
        <f t="shared" si="28"/>
        <v>221700000</v>
      </c>
      <c r="P48" s="183">
        <f t="shared" si="28"/>
        <v>217095000</v>
      </c>
      <c r="Q48" s="183">
        <f t="shared" si="28"/>
        <v>212490000</v>
      </c>
      <c r="R48" s="183">
        <f t="shared" si="28"/>
        <v>207885000</v>
      </c>
      <c r="S48" s="183">
        <f t="shared" si="28"/>
        <v>203280000</v>
      </c>
    </row>
    <row r="49" spans="2:19" x14ac:dyDescent="0.25">
      <c r="B49" s="184"/>
      <c r="C49" s="185"/>
      <c r="D49" s="178" t="str">
        <f t="shared" si="27"/>
        <v>PRETRATAMIENTO</v>
      </c>
      <c r="E49" s="179" t="str">
        <f t="shared" si="27"/>
        <v>ACTIVO 3</v>
      </c>
      <c r="F49" s="189">
        <f t="shared" si="27"/>
        <v>4</v>
      </c>
      <c r="G49" s="190">
        <f t="shared" si="27"/>
        <v>2000000000</v>
      </c>
      <c r="H49" s="182">
        <f>+VLOOKUP(E49,'Tablero de Control'!$E$18:$I$24,5,FALSE)</f>
        <v>30</v>
      </c>
      <c r="I49" s="183" t="str">
        <f t="shared" ref="I49:S49" si="29">+IFERROR(I38+I16,"")</f>
        <v/>
      </c>
      <c r="J49" s="183">
        <f t="shared" si="29"/>
        <v>0</v>
      </c>
      <c r="K49" s="183">
        <f t="shared" si="29"/>
        <v>0</v>
      </c>
      <c r="L49" s="183">
        <f t="shared" si="29"/>
        <v>0</v>
      </c>
      <c r="M49" s="183">
        <f t="shared" si="29"/>
        <v>0</v>
      </c>
      <c r="N49" s="183">
        <f t="shared" si="29"/>
        <v>312266666.66666669</v>
      </c>
      <c r="O49" s="183">
        <f t="shared" si="29"/>
        <v>304080000</v>
      </c>
      <c r="P49" s="183">
        <f t="shared" si="29"/>
        <v>295893333.33333331</v>
      </c>
      <c r="Q49" s="183">
        <f t="shared" si="29"/>
        <v>287706666.66666663</v>
      </c>
      <c r="R49" s="183">
        <f t="shared" si="29"/>
        <v>279520000</v>
      </c>
      <c r="S49" s="183">
        <f t="shared" si="29"/>
        <v>271333333.33333331</v>
      </c>
    </row>
    <row r="50" spans="2:19" x14ac:dyDescent="0.25">
      <c r="B50" s="186"/>
      <c r="C50" s="187"/>
      <c r="D50" s="178" t="str">
        <f t="shared" si="27"/>
        <v>TRATAMIENTO</v>
      </c>
      <c r="E50" s="179" t="str">
        <f t="shared" si="27"/>
        <v>ACTIVO 4*</v>
      </c>
      <c r="F50" s="189">
        <f t="shared" si="27"/>
        <v>3</v>
      </c>
      <c r="G50" s="190">
        <f t="shared" si="27"/>
        <v>1800000000</v>
      </c>
      <c r="H50" s="182">
        <f>+VLOOKUP(E50,'Tablero de Control'!$E$18:$I$24,5,FALSE)</f>
        <v>40</v>
      </c>
      <c r="I50" s="183" t="str">
        <f t="shared" ref="I50:S50" si="30">+IFERROR(I39+I17,"")</f>
        <v/>
      </c>
      <c r="J50" s="183">
        <f t="shared" si="30"/>
        <v>0</v>
      </c>
      <c r="K50" s="183">
        <f t="shared" si="30"/>
        <v>0</v>
      </c>
      <c r="L50" s="183">
        <f t="shared" si="30"/>
        <v>0</v>
      </c>
      <c r="M50" s="183">
        <f t="shared" si="30"/>
        <v>266040000</v>
      </c>
      <c r="N50" s="183">
        <f t="shared" si="30"/>
        <v>260514000</v>
      </c>
      <c r="O50" s="183">
        <f t="shared" si="30"/>
        <v>254988000</v>
      </c>
      <c r="P50" s="183">
        <f t="shared" si="30"/>
        <v>249462000</v>
      </c>
      <c r="Q50" s="183">
        <f t="shared" si="30"/>
        <v>243936000</v>
      </c>
      <c r="R50" s="183">
        <f t="shared" si="30"/>
        <v>238410000</v>
      </c>
      <c r="S50" s="183">
        <f t="shared" si="30"/>
        <v>232884000</v>
      </c>
    </row>
    <row r="51" spans="2:19" x14ac:dyDescent="0.25">
      <c r="B51" s="179" t="str">
        <f>+B40</f>
        <v>ACUEDUCTO</v>
      </c>
      <c r="C51" s="178" t="str">
        <f>+C40</f>
        <v>TRANSPORTE DE AGUA POTABLE</v>
      </c>
      <c r="D51" s="178" t="str">
        <f t="shared" si="27"/>
        <v xml:space="preserve">CONDUCCIÓN </v>
      </c>
      <c r="E51" s="179" t="str">
        <f t="shared" si="27"/>
        <v>ACTIVO 5</v>
      </c>
      <c r="F51" s="189">
        <f t="shared" si="27"/>
        <v>2</v>
      </c>
      <c r="G51" s="190">
        <f t="shared" si="27"/>
        <v>8000000000</v>
      </c>
      <c r="H51" s="182">
        <f>+VLOOKUP(E51,'Tablero de Control'!$E$18:$I$24,5,FALSE)</f>
        <v>40</v>
      </c>
      <c r="I51" s="183" t="str">
        <f t="shared" ref="I51:S51" si="31">+IFERROR(I40+I18,"")</f>
        <v/>
      </c>
      <c r="J51" s="183">
        <f t="shared" si="31"/>
        <v>0</v>
      </c>
      <c r="K51" s="183">
        <f t="shared" si="31"/>
        <v>0</v>
      </c>
      <c r="L51" s="183">
        <f t="shared" si="31"/>
        <v>1182400000</v>
      </c>
      <c r="M51" s="183">
        <f t="shared" si="31"/>
        <v>1157840000</v>
      </c>
      <c r="N51" s="183">
        <f t="shared" si="31"/>
        <v>1133280000</v>
      </c>
      <c r="O51" s="183">
        <f t="shared" si="31"/>
        <v>1108720000</v>
      </c>
      <c r="P51" s="183">
        <f t="shared" si="31"/>
        <v>1084160000</v>
      </c>
      <c r="Q51" s="183">
        <f t="shared" si="31"/>
        <v>1059600000</v>
      </c>
      <c r="R51" s="183">
        <f t="shared" si="31"/>
        <v>1035040000</v>
      </c>
      <c r="S51" s="183">
        <f t="shared" si="31"/>
        <v>1010480000</v>
      </c>
    </row>
    <row r="52" spans="2:19" ht="26.4" x14ac:dyDescent="0.25">
      <c r="B52" s="179" t="str">
        <f t="shared" ref="B52:C52" si="32">+B41</f>
        <v>ALCANTARILLADO</v>
      </c>
      <c r="C52" s="178" t="str">
        <f t="shared" si="32"/>
        <v>RECOLECCIÓN Y TRANSPORTE DE AGUAS RESIDUALES</v>
      </c>
      <c r="D52" s="178" t="str">
        <f t="shared" si="27"/>
        <v>ELEVACIÓN Y BOMBEO</v>
      </c>
      <c r="E52" s="179" t="str">
        <f t="shared" si="27"/>
        <v>ACTIVO 6</v>
      </c>
      <c r="F52" s="189">
        <f t="shared" si="27"/>
        <v>2</v>
      </c>
      <c r="G52" s="190">
        <f t="shared" si="27"/>
        <v>2500000000</v>
      </c>
      <c r="H52" s="182">
        <f>+VLOOKUP(E52,'Tablero de Control'!$E$18:$I$24,5,FALSE)</f>
        <v>35</v>
      </c>
      <c r="I52" s="183" t="str">
        <f t="shared" ref="I52:S52" si="33">+IFERROR(I41+I19,"")</f>
        <v/>
      </c>
      <c r="J52" s="183">
        <f t="shared" si="33"/>
        <v>0</v>
      </c>
      <c r="K52" s="183">
        <f t="shared" si="33"/>
        <v>0</v>
      </c>
      <c r="L52" s="183">
        <f t="shared" si="33"/>
        <v>378428571.42857146</v>
      </c>
      <c r="M52" s="183">
        <f t="shared" si="33"/>
        <v>369657142.85714293</v>
      </c>
      <c r="N52" s="183">
        <f t="shared" si="33"/>
        <v>360885714.28571439</v>
      </c>
      <c r="O52" s="183">
        <f t="shared" si="33"/>
        <v>352114285.71428585</v>
      </c>
      <c r="P52" s="183">
        <f t="shared" si="33"/>
        <v>343342857.14285731</v>
      </c>
      <c r="Q52" s="183">
        <f t="shared" si="33"/>
        <v>334571428.57142866</v>
      </c>
      <c r="R52" s="183">
        <f t="shared" si="33"/>
        <v>325800000.00000012</v>
      </c>
      <c r="S52" s="183">
        <f t="shared" si="33"/>
        <v>317028571.42857152</v>
      </c>
    </row>
    <row r="53" spans="2:19" ht="26.4" x14ac:dyDescent="0.25">
      <c r="B53" s="179" t="str">
        <f t="shared" ref="B53:C53" si="34">+B42</f>
        <v>ALCANTARILLADO</v>
      </c>
      <c r="C53" s="178" t="str">
        <f t="shared" si="34"/>
        <v>TRATAMIENTO Y/O DISPOSICIÓN FINAL DE AGUAS RESIDUALES</v>
      </c>
      <c r="D53" s="178" t="str">
        <f t="shared" si="27"/>
        <v>DISPOSICIÓN FINAL</v>
      </c>
      <c r="E53" s="179" t="str">
        <f t="shared" si="27"/>
        <v>ACTIVO 7</v>
      </c>
      <c r="F53" s="189">
        <f t="shared" si="27"/>
        <v>8</v>
      </c>
      <c r="G53" s="190">
        <f t="shared" si="27"/>
        <v>3000000000</v>
      </c>
      <c r="H53" s="182">
        <f>+VLOOKUP(E53,'Tablero de Control'!$E$18:$I$24,5,FALSE)</f>
        <v>30</v>
      </c>
      <c r="I53" s="183" t="str">
        <f t="shared" ref="I53:S53" si="35">+IFERROR(I42+I20,"")</f>
        <v/>
      </c>
      <c r="J53" s="183">
        <f t="shared" si="35"/>
        <v>0</v>
      </c>
      <c r="K53" s="183">
        <f t="shared" si="35"/>
        <v>0</v>
      </c>
      <c r="L53" s="183">
        <f t="shared" si="35"/>
        <v>0</v>
      </c>
      <c r="M53" s="183">
        <f t="shared" si="35"/>
        <v>0</v>
      </c>
      <c r="N53" s="183">
        <f t="shared" si="35"/>
        <v>0</v>
      </c>
      <c r="O53" s="183">
        <f t="shared" si="35"/>
        <v>0</v>
      </c>
      <c r="P53" s="183">
        <f t="shared" si="35"/>
        <v>0</v>
      </c>
      <c r="Q53" s="183">
        <f t="shared" si="35"/>
        <v>0</v>
      </c>
      <c r="R53" s="183">
        <f t="shared" si="35"/>
        <v>468400000</v>
      </c>
      <c r="S53" s="183">
        <f t="shared" si="35"/>
        <v>456120000</v>
      </c>
    </row>
    <row r="55" spans="2:19" ht="20.399999999999999" thickBot="1" x14ac:dyDescent="0.45">
      <c r="B55" s="173" t="s">
        <v>58</v>
      </c>
      <c r="C55" s="173"/>
      <c r="D55" s="173"/>
      <c r="E55" s="173"/>
      <c r="F55" s="173"/>
      <c r="G55" s="173"/>
    </row>
    <row r="56" spans="2:19" ht="13.8" thickTop="1" x14ac:dyDescent="0.25"/>
    <row r="57" spans="2:19" ht="26.4" x14ac:dyDescent="0.25">
      <c r="B57" s="174" t="s">
        <v>118</v>
      </c>
      <c r="C57" s="174" t="s">
        <v>119</v>
      </c>
      <c r="D57" s="174" t="str">
        <f>+D46</f>
        <v>Actividad del activo j</v>
      </c>
      <c r="E57" s="174" t="str">
        <f>+E46</f>
        <v>Identificación del activo</v>
      </c>
      <c r="F57" s="174" t="str">
        <f>+F46</f>
        <v>Año planeado</v>
      </c>
      <c r="G57" s="174" t="str">
        <f>+G46</f>
        <v>Valor POIR planeado del activo j</v>
      </c>
      <c r="H57" s="174" t="str">
        <f>+H46</f>
        <v>Vida Útil</v>
      </c>
      <c r="I57" s="192">
        <v>1</v>
      </c>
      <c r="J57" s="192">
        <v>2</v>
      </c>
      <c r="K57" s="192">
        <v>3</v>
      </c>
      <c r="L57" s="192">
        <v>4</v>
      </c>
      <c r="M57" s="192">
        <v>5</v>
      </c>
      <c r="N57" s="192">
        <v>6</v>
      </c>
      <c r="O57" s="192">
        <v>7</v>
      </c>
      <c r="P57" s="192">
        <v>8</v>
      </c>
      <c r="Q57" s="192">
        <v>9</v>
      </c>
      <c r="R57" s="192">
        <v>10</v>
      </c>
    </row>
    <row r="58" spans="2:19" x14ac:dyDescent="0.25">
      <c r="B58" s="176" t="str">
        <f t="shared" ref="B58:G58" si="36">+B47</f>
        <v>ACUEDUCTO</v>
      </c>
      <c r="C58" s="177" t="str">
        <f t="shared" si="36"/>
        <v>PRODUCCIÓN DE AGUA POTABLE</v>
      </c>
      <c r="D58" s="178" t="str">
        <f t="shared" si="36"/>
        <v>CAPTACIÓN</v>
      </c>
      <c r="E58" s="179" t="str">
        <f t="shared" si="36"/>
        <v>ACTIVO 1</v>
      </c>
      <c r="F58" s="189">
        <f t="shared" si="36"/>
        <v>2</v>
      </c>
      <c r="G58" s="190">
        <f t="shared" si="36"/>
        <v>1100000000</v>
      </c>
      <c r="H58" s="182">
        <f>+VLOOKUP(E58,'Tablero de Control'!$E$18:$I$24,5,FALSE)</f>
        <v>40</v>
      </c>
      <c r="I58" s="193">
        <f>+'Tablero de Control'!C$32</f>
        <v>304749279.12</v>
      </c>
      <c r="J58" s="193">
        <f>+'Tablero de Control'!D$32</f>
        <v>310063070.75999999</v>
      </c>
      <c r="K58" s="193">
        <f>+'Tablero de Control'!E$32</f>
        <v>313111354.31999999</v>
      </c>
      <c r="L58" s="193">
        <f>+'Tablero de Control'!F$32</f>
        <v>316489046.99999994</v>
      </c>
      <c r="M58" s="193">
        <f>+'Tablero de Control'!G$32</f>
        <v>318866646.84000003</v>
      </c>
      <c r="N58" s="193">
        <f>+'Tablero de Control'!H$32</f>
        <v>320080372.08000004</v>
      </c>
      <c r="O58" s="193">
        <f>+'Tablero de Control'!I$32</f>
        <v>321828145.32000005</v>
      </c>
      <c r="P58" s="193">
        <f>+'Tablero de Control'!J$32</f>
        <v>323889184.07999998</v>
      </c>
      <c r="Q58" s="193">
        <f>+'Tablero de Control'!K$32</f>
        <v>325889684.63999999</v>
      </c>
      <c r="R58" s="193">
        <f>+'Tablero de Control'!L$32</f>
        <v>327001087.31999993</v>
      </c>
    </row>
    <row r="59" spans="2:19" x14ac:dyDescent="0.25">
      <c r="B59" s="184"/>
      <c r="C59" s="185"/>
      <c r="D59" s="178" t="str">
        <f t="shared" ref="D59:G64" si="37">+D48</f>
        <v xml:space="preserve">ADUCCIÓN </v>
      </c>
      <c r="E59" s="179" t="str">
        <f t="shared" si="37"/>
        <v>ACTIVO 2</v>
      </c>
      <c r="F59" s="189">
        <f t="shared" si="37"/>
        <v>5</v>
      </c>
      <c r="G59" s="190">
        <f t="shared" si="37"/>
        <v>1500000000</v>
      </c>
      <c r="H59" s="182">
        <f>+VLOOKUP(E59,'Tablero de Control'!$E$18:$I$24,5,FALSE)</f>
        <v>40</v>
      </c>
      <c r="I59" s="193">
        <f>+'Tablero de Control'!C$32</f>
        <v>304749279.12</v>
      </c>
      <c r="J59" s="193">
        <f>+'Tablero de Control'!D$32</f>
        <v>310063070.75999999</v>
      </c>
      <c r="K59" s="193">
        <f>+'Tablero de Control'!E$32</f>
        <v>313111354.31999999</v>
      </c>
      <c r="L59" s="193">
        <f>+'Tablero de Control'!F$32</f>
        <v>316489046.99999994</v>
      </c>
      <c r="M59" s="193">
        <f>+'Tablero de Control'!G$32</f>
        <v>318866646.84000003</v>
      </c>
      <c r="N59" s="193">
        <f>+'Tablero de Control'!H$32</f>
        <v>320080372.08000004</v>
      </c>
      <c r="O59" s="193">
        <f>+'Tablero de Control'!I$32</f>
        <v>321828145.32000005</v>
      </c>
      <c r="P59" s="193">
        <f>+'Tablero de Control'!J$32</f>
        <v>323889184.07999998</v>
      </c>
      <c r="Q59" s="193">
        <f>+'Tablero de Control'!K$32</f>
        <v>325889684.63999999</v>
      </c>
      <c r="R59" s="193">
        <f>+'Tablero de Control'!L$32</f>
        <v>327001087.31999993</v>
      </c>
    </row>
    <row r="60" spans="2:19" x14ac:dyDescent="0.25">
      <c r="B60" s="184"/>
      <c r="C60" s="185"/>
      <c r="D60" s="178" t="str">
        <f t="shared" si="37"/>
        <v>PRETRATAMIENTO</v>
      </c>
      <c r="E60" s="179" t="str">
        <f t="shared" si="37"/>
        <v>ACTIVO 3</v>
      </c>
      <c r="F60" s="189">
        <f t="shared" si="37"/>
        <v>4</v>
      </c>
      <c r="G60" s="190">
        <f t="shared" si="37"/>
        <v>2000000000</v>
      </c>
      <c r="H60" s="182">
        <f>+VLOOKUP(E60,'Tablero de Control'!$E$18:$I$24,5,FALSE)</f>
        <v>30</v>
      </c>
      <c r="I60" s="193">
        <f>+'Tablero de Control'!C$32</f>
        <v>304749279.12</v>
      </c>
      <c r="J60" s="193">
        <f>+'Tablero de Control'!D$32</f>
        <v>310063070.75999999</v>
      </c>
      <c r="K60" s="193">
        <f>+'Tablero de Control'!E$32</f>
        <v>313111354.31999999</v>
      </c>
      <c r="L60" s="193">
        <f>+'Tablero de Control'!F$32</f>
        <v>316489046.99999994</v>
      </c>
      <c r="M60" s="193">
        <f>+'Tablero de Control'!G$32</f>
        <v>318866646.84000003</v>
      </c>
      <c r="N60" s="193">
        <f>+'Tablero de Control'!H$32</f>
        <v>320080372.08000004</v>
      </c>
      <c r="O60" s="193">
        <f>+'Tablero de Control'!I$32</f>
        <v>321828145.32000005</v>
      </c>
      <c r="P60" s="193">
        <f>+'Tablero de Control'!J$32</f>
        <v>323889184.07999998</v>
      </c>
      <c r="Q60" s="193">
        <f>+'Tablero de Control'!K$32</f>
        <v>325889684.63999999</v>
      </c>
      <c r="R60" s="193">
        <f>+'Tablero de Control'!L$32</f>
        <v>327001087.31999993</v>
      </c>
    </row>
    <row r="61" spans="2:19" x14ac:dyDescent="0.25">
      <c r="B61" s="186"/>
      <c r="C61" s="187"/>
      <c r="D61" s="178" t="str">
        <f t="shared" si="37"/>
        <v>TRATAMIENTO</v>
      </c>
      <c r="E61" s="179" t="str">
        <f t="shared" si="37"/>
        <v>ACTIVO 4*</v>
      </c>
      <c r="F61" s="189">
        <f t="shared" si="37"/>
        <v>3</v>
      </c>
      <c r="G61" s="190">
        <f t="shared" si="37"/>
        <v>1800000000</v>
      </c>
      <c r="H61" s="182">
        <f>+VLOOKUP(E61,'Tablero de Control'!$E$18:$I$24,5,FALSE)</f>
        <v>40</v>
      </c>
      <c r="I61" s="193">
        <f>+'Tablero de Control'!C$32</f>
        <v>304749279.12</v>
      </c>
      <c r="J61" s="193">
        <f>+'Tablero de Control'!D$32</f>
        <v>310063070.75999999</v>
      </c>
      <c r="K61" s="193">
        <f>+'Tablero de Control'!E$32</f>
        <v>313111354.31999999</v>
      </c>
      <c r="L61" s="193">
        <f>+'Tablero de Control'!F$32</f>
        <v>316489046.99999994</v>
      </c>
      <c r="M61" s="193">
        <f>+'Tablero de Control'!G$32</f>
        <v>318866646.84000003</v>
      </c>
      <c r="N61" s="193">
        <f>+'Tablero de Control'!H$32</f>
        <v>320080372.08000004</v>
      </c>
      <c r="O61" s="193">
        <f>+'Tablero de Control'!I$32</f>
        <v>321828145.32000005</v>
      </c>
      <c r="P61" s="193">
        <f>+'Tablero de Control'!J$32</f>
        <v>323889184.07999998</v>
      </c>
      <c r="Q61" s="193">
        <f>+'Tablero de Control'!K$32</f>
        <v>325889684.63999999</v>
      </c>
      <c r="R61" s="193">
        <f>+'Tablero de Control'!L$32</f>
        <v>327001087.31999993</v>
      </c>
    </row>
    <row r="62" spans="2:19" x14ac:dyDescent="0.25">
      <c r="B62" s="179" t="str">
        <f>+B51</f>
        <v>ACUEDUCTO</v>
      </c>
      <c r="C62" s="178" t="str">
        <f>+C51</f>
        <v>TRANSPORTE DE AGUA POTABLE</v>
      </c>
      <c r="D62" s="178" t="str">
        <f t="shared" si="37"/>
        <v xml:space="preserve">CONDUCCIÓN </v>
      </c>
      <c r="E62" s="179" t="str">
        <f t="shared" si="37"/>
        <v>ACTIVO 5</v>
      </c>
      <c r="F62" s="189">
        <f t="shared" si="37"/>
        <v>2</v>
      </c>
      <c r="G62" s="190">
        <f t="shared" si="37"/>
        <v>8000000000</v>
      </c>
      <c r="H62" s="182">
        <f>+VLOOKUP(E62,'Tablero de Control'!$E$18:$I$24,5,FALSE)</f>
        <v>40</v>
      </c>
      <c r="I62" s="193">
        <f>+'Tablero de Control'!C$32</f>
        <v>304749279.12</v>
      </c>
      <c r="J62" s="193">
        <f>+'Tablero de Control'!D$32</f>
        <v>310063070.75999999</v>
      </c>
      <c r="K62" s="193">
        <f>+'Tablero de Control'!E$32</f>
        <v>313111354.31999999</v>
      </c>
      <c r="L62" s="193">
        <f>+'Tablero de Control'!F$32</f>
        <v>316489046.99999994</v>
      </c>
      <c r="M62" s="193">
        <f>+'Tablero de Control'!G$32</f>
        <v>318866646.84000003</v>
      </c>
      <c r="N62" s="193">
        <f>+'Tablero de Control'!H$32</f>
        <v>320080372.08000004</v>
      </c>
      <c r="O62" s="193">
        <f>+'Tablero de Control'!I$32</f>
        <v>321828145.32000005</v>
      </c>
      <c r="P62" s="193">
        <f>+'Tablero de Control'!J$32</f>
        <v>323889184.07999998</v>
      </c>
      <c r="Q62" s="193">
        <f>+'Tablero de Control'!K$32</f>
        <v>325889684.63999999</v>
      </c>
      <c r="R62" s="193">
        <f>+'Tablero de Control'!L$32</f>
        <v>327001087.31999993</v>
      </c>
    </row>
    <row r="63" spans="2:19" ht="26.4" x14ac:dyDescent="0.25">
      <c r="B63" s="179" t="str">
        <f t="shared" ref="B63:C63" si="38">+B52</f>
        <v>ALCANTARILLADO</v>
      </c>
      <c r="C63" s="178" t="str">
        <f t="shared" si="38"/>
        <v>RECOLECCIÓN Y TRANSPORTE DE AGUAS RESIDUALES</v>
      </c>
      <c r="D63" s="178" t="str">
        <f t="shared" si="37"/>
        <v>ELEVACIÓN Y BOMBEO</v>
      </c>
      <c r="E63" s="179" t="str">
        <f t="shared" si="37"/>
        <v>ACTIVO 6</v>
      </c>
      <c r="F63" s="189">
        <f t="shared" si="37"/>
        <v>2</v>
      </c>
      <c r="G63" s="190">
        <f t="shared" si="37"/>
        <v>2500000000</v>
      </c>
      <c r="H63" s="182">
        <f>+VLOOKUP(E63,'Tablero de Control'!$E$18:$I$24,5,FALSE)</f>
        <v>35</v>
      </c>
      <c r="I63" s="193">
        <f>+'Tablero de Control'!C$32</f>
        <v>304749279.12</v>
      </c>
      <c r="J63" s="193">
        <f>+'Tablero de Control'!D$32</f>
        <v>310063070.75999999</v>
      </c>
      <c r="K63" s="193">
        <f>+'Tablero de Control'!E$32</f>
        <v>313111354.31999999</v>
      </c>
      <c r="L63" s="193">
        <f>+'Tablero de Control'!F$32</f>
        <v>316489046.99999994</v>
      </c>
      <c r="M63" s="193">
        <f>+'Tablero de Control'!G$32</f>
        <v>318866646.84000003</v>
      </c>
      <c r="N63" s="193">
        <f>+'Tablero de Control'!H$32</f>
        <v>320080372.08000004</v>
      </c>
      <c r="O63" s="193">
        <f>+'Tablero de Control'!I$32</f>
        <v>321828145.32000005</v>
      </c>
      <c r="P63" s="193">
        <f>+'Tablero de Control'!J$32</f>
        <v>323889184.07999998</v>
      </c>
      <c r="Q63" s="193">
        <f>+'Tablero de Control'!K$32</f>
        <v>325889684.63999999</v>
      </c>
      <c r="R63" s="193">
        <f>+'Tablero de Control'!L$32</f>
        <v>327001087.31999993</v>
      </c>
    </row>
    <row r="64" spans="2:19" ht="26.4" x14ac:dyDescent="0.25">
      <c r="B64" s="179" t="str">
        <f t="shared" ref="B64:C64" si="39">+B53</f>
        <v>ALCANTARILLADO</v>
      </c>
      <c r="C64" s="178" t="str">
        <f t="shared" si="39"/>
        <v>TRATAMIENTO Y/O DISPOSICIÓN FINAL DE AGUAS RESIDUALES</v>
      </c>
      <c r="D64" s="178" t="str">
        <f t="shared" si="37"/>
        <v>DISPOSICIÓN FINAL</v>
      </c>
      <c r="E64" s="179" t="str">
        <f t="shared" si="37"/>
        <v>ACTIVO 7</v>
      </c>
      <c r="F64" s="189">
        <f t="shared" si="37"/>
        <v>8</v>
      </c>
      <c r="G64" s="190">
        <f t="shared" si="37"/>
        <v>3000000000</v>
      </c>
      <c r="H64" s="182">
        <f>+VLOOKUP(E64,'Tablero de Control'!$E$18:$I$24,5,FALSE)</f>
        <v>30</v>
      </c>
      <c r="I64" s="193">
        <f>+'Tablero de Control'!C$32</f>
        <v>304749279.12</v>
      </c>
      <c r="J64" s="193">
        <f>+'Tablero de Control'!D$32</f>
        <v>310063070.75999999</v>
      </c>
      <c r="K64" s="193">
        <f>+'Tablero de Control'!E$32</f>
        <v>313111354.31999999</v>
      </c>
      <c r="L64" s="193">
        <f>+'Tablero de Control'!F$32</f>
        <v>316489046.99999994</v>
      </c>
      <c r="M64" s="193">
        <f>+'Tablero de Control'!G$32</f>
        <v>318866646.84000003</v>
      </c>
      <c r="N64" s="193">
        <f>+'Tablero de Control'!H$32</f>
        <v>320080372.08000004</v>
      </c>
      <c r="O64" s="193">
        <f>+'Tablero de Control'!I$32</f>
        <v>321828145.32000005</v>
      </c>
      <c r="P64" s="193">
        <f>+'Tablero de Control'!J$32</f>
        <v>323889184.07999998</v>
      </c>
      <c r="Q64" s="193">
        <f>+'Tablero de Control'!K$32</f>
        <v>325889684.63999999</v>
      </c>
      <c r="R64" s="193">
        <f>+'Tablero de Control'!L$32</f>
        <v>327001087.31999993</v>
      </c>
    </row>
    <row r="66" spans="2:11" ht="20.399999999999999" thickBot="1" x14ac:dyDescent="0.45">
      <c r="B66" s="173" t="s">
        <v>59</v>
      </c>
      <c r="C66" s="173"/>
      <c r="D66" s="173"/>
      <c r="E66" s="173"/>
      <c r="F66" s="173"/>
      <c r="G66" s="173"/>
    </row>
    <row r="67" spans="2:11" ht="13.8" thickTop="1" x14ac:dyDescent="0.25"/>
    <row r="68" spans="2:11" ht="26.4" x14ac:dyDescent="0.25">
      <c r="B68" s="174" t="s">
        <v>118</v>
      </c>
      <c r="C68" s="174" t="s">
        <v>119</v>
      </c>
      <c r="D68" s="174" t="str">
        <f>+D57</f>
        <v>Actividad del activo j</v>
      </c>
      <c r="E68" s="174" t="str">
        <f>+E57</f>
        <v>Identificación del activo</v>
      </c>
      <c r="F68" s="174" t="str">
        <f>+F57</f>
        <v>Año planeado</v>
      </c>
      <c r="G68" s="174" t="str">
        <f>+G57</f>
        <v>Valor POIR planeado del activo j</v>
      </c>
      <c r="H68" s="174" t="str">
        <f>+H57</f>
        <v>Vida Útil</v>
      </c>
      <c r="I68" s="174" t="s">
        <v>28</v>
      </c>
      <c r="J68" s="174" t="s">
        <v>29</v>
      </c>
      <c r="K68" s="174" t="s">
        <v>53</v>
      </c>
    </row>
    <row r="69" spans="2:11" x14ac:dyDescent="0.25">
      <c r="B69" s="176" t="str">
        <f t="shared" ref="B69:G69" si="40">+B58</f>
        <v>ACUEDUCTO</v>
      </c>
      <c r="C69" s="177" t="str">
        <f t="shared" si="40"/>
        <v>PRODUCCIÓN DE AGUA POTABLE</v>
      </c>
      <c r="D69" s="178" t="str">
        <f t="shared" si="40"/>
        <v>CAPTACIÓN</v>
      </c>
      <c r="E69" s="179" t="str">
        <f t="shared" si="40"/>
        <v>ACTIVO 1</v>
      </c>
      <c r="F69" s="189">
        <f t="shared" si="40"/>
        <v>2</v>
      </c>
      <c r="G69" s="190">
        <f t="shared" si="40"/>
        <v>1100000000</v>
      </c>
      <c r="H69" s="182">
        <f>+VLOOKUP(E69,'Tablero de Control'!$E$18:$I$24,5,FALSE)</f>
        <v>40</v>
      </c>
      <c r="I69" s="183">
        <f t="shared" ref="I69:I75" si="41">+NPV($C$8,J47:S47)</f>
        <v>596195618.67870343</v>
      </c>
      <c r="J69" s="183">
        <f t="shared" ref="J69:J75" si="42">+NPV($C$8,I58:R58)</f>
        <v>1765026821.5542903</v>
      </c>
      <c r="K69" s="194">
        <f>+I69/J69</f>
        <v>0.33778275287266796</v>
      </c>
    </row>
    <row r="70" spans="2:11" x14ac:dyDescent="0.25">
      <c r="B70" s="184"/>
      <c r="C70" s="185"/>
      <c r="D70" s="178" t="str">
        <f t="shared" ref="D70:G75" si="43">+D59</f>
        <v xml:space="preserve">ADUCCIÓN </v>
      </c>
      <c r="E70" s="179" t="str">
        <f t="shared" si="43"/>
        <v>ACTIVO 2</v>
      </c>
      <c r="F70" s="189">
        <f t="shared" si="43"/>
        <v>5</v>
      </c>
      <c r="G70" s="190">
        <f t="shared" si="43"/>
        <v>1500000000</v>
      </c>
      <c r="H70" s="182">
        <f>+VLOOKUP(E70,'Tablero de Control'!$E$18:$I$24,5,FALSE)</f>
        <v>40</v>
      </c>
      <c r="I70" s="183">
        <f t="shared" si="41"/>
        <v>428411410.7478078</v>
      </c>
      <c r="J70" s="183">
        <f t="shared" si="42"/>
        <v>1765026821.5542903</v>
      </c>
      <c r="K70" s="194">
        <f t="shared" ref="K70:K75" si="44">+I70/J70</f>
        <v>0.24272232326223056</v>
      </c>
    </row>
    <row r="71" spans="2:11" x14ac:dyDescent="0.25">
      <c r="B71" s="184"/>
      <c r="C71" s="185"/>
      <c r="D71" s="178" t="str">
        <f t="shared" si="43"/>
        <v>PRETRATAMIENTO</v>
      </c>
      <c r="E71" s="179" t="str">
        <f t="shared" si="43"/>
        <v>ACTIVO 3</v>
      </c>
      <c r="F71" s="189">
        <f t="shared" si="43"/>
        <v>4</v>
      </c>
      <c r="G71" s="190">
        <f t="shared" si="43"/>
        <v>2000000000</v>
      </c>
      <c r="H71" s="182">
        <f>+VLOOKUP(E71,'Tablero de Control'!$E$18:$I$24,5,FALSE)</f>
        <v>30</v>
      </c>
      <c r="I71" s="183">
        <f t="shared" si="41"/>
        <v>755951261.73648977</v>
      </c>
      <c r="J71" s="183">
        <f t="shared" si="42"/>
        <v>1765026821.5542903</v>
      </c>
      <c r="K71" s="194">
        <f t="shared" si="44"/>
        <v>0.42829448963885763</v>
      </c>
    </row>
    <row r="72" spans="2:11" x14ac:dyDescent="0.25">
      <c r="B72" s="186"/>
      <c r="C72" s="187"/>
      <c r="D72" s="178" t="str">
        <f t="shared" si="43"/>
        <v>TRATAMIENTO</v>
      </c>
      <c r="E72" s="179" t="str">
        <f t="shared" si="43"/>
        <v>ACTIVO 4*</v>
      </c>
      <c r="F72" s="189">
        <f t="shared" si="43"/>
        <v>3</v>
      </c>
      <c r="G72" s="190">
        <f t="shared" si="43"/>
        <v>1800000000</v>
      </c>
      <c r="H72" s="182">
        <f>+VLOOKUP(E72,'Tablero de Control'!$E$18:$I$24,5,FALSE)</f>
        <v>40</v>
      </c>
      <c r="I72" s="183">
        <f t="shared" si="41"/>
        <v>805303531.55253291</v>
      </c>
      <c r="J72" s="183">
        <f t="shared" si="42"/>
        <v>1765026821.5542903</v>
      </c>
      <c r="K72" s="194">
        <f t="shared" si="44"/>
        <v>0.45625569068881294</v>
      </c>
    </row>
    <row r="73" spans="2:11" x14ac:dyDescent="0.25">
      <c r="B73" s="179" t="str">
        <f>+B62</f>
        <v>ACUEDUCTO</v>
      </c>
      <c r="C73" s="178" t="str">
        <f>+C62</f>
        <v>TRANSPORTE DE AGUA POTABLE</v>
      </c>
      <c r="D73" s="178" t="str">
        <f t="shared" si="43"/>
        <v xml:space="preserve">CONDUCCIÓN </v>
      </c>
      <c r="E73" s="179" t="str">
        <f t="shared" si="43"/>
        <v>ACTIVO 5</v>
      </c>
      <c r="F73" s="189">
        <f t="shared" si="43"/>
        <v>2</v>
      </c>
      <c r="G73" s="190">
        <f t="shared" si="43"/>
        <v>8000000000</v>
      </c>
      <c r="H73" s="182">
        <f>+VLOOKUP(E73,'Tablero de Control'!$E$18:$I$24,5,FALSE)</f>
        <v>40</v>
      </c>
      <c r="I73" s="183">
        <f t="shared" si="41"/>
        <v>4335968135.8451157</v>
      </c>
      <c r="J73" s="183">
        <f t="shared" si="42"/>
        <v>1765026821.5542903</v>
      </c>
      <c r="K73" s="194">
        <f t="shared" si="44"/>
        <v>2.4566018390739486</v>
      </c>
    </row>
    <row r="74" spans="2:11" ht="26.4" x14ac:dyDescent="0.25">
      <c r="B74" s="179" t="str">
        <f t="shared" ref="B74:C74" si="45">+B63</f>
        <v>ALCANTARILLADO</v>
      </c>
      <c r="C74" s="178" t="str">
        <f t="shared" si="45"/>
        <v>RECOLECCIÓN Y TRANSPORTE DE AGUAS RESIDUALES</v>
      </c>
      <c r="D74" s="178" t="str">
        <f t="shared" si="43"/>
        <v>ELEVACIÓN Y BOMBEO</v>
      </c>
      <c r="E74" s="179" t="str">
        <f t="shared" si="43"/>
        <v>ACTIVO 6</v>
      </c>
      <c r="F74" s="189">
        <f t="shared" si="43"/>
        <v>2</v>
      </c>
      <c r="G74" s="190">
        <f t="shared" si="43"/>
        <v>2500000000</v>
      </c>
      <c r="H74" s="182">
        <f>+VLOOKUP(E74,'Tablero de Control'!$E$18:$I$24,5,FALSE)</f>
        <v>35</v>
      </c>
      <c r="I74" s="183">
        <f t="shared" si="41"/>
        <v>1377421005.7461033</v>
      </c>
      <c r="J74" s="183">
        <f t="shared" si="42"/>
        <v>1765026821.5542903</v>
      </c>
      <c r="K74" s="194">
        <f t="shared" si="44"/>
        <v>0.78039664266016107</v>
      </c>
    </row>
    <row r="75" spans="2:11" ht="26.4" x14ac:dyDescent="0.25">
      <c r="B75" s="179" t="str">
        <f t="shared" ref="B75:C75" si="46">+B64</f>
        <v>ALCANTARILLADO</v>
      </c>
      <c r="C75" s="178" t="str">
        <f t="shared" si="46"/>
        <v>TRATAMIENTO Y/O DISPOSICIÓN FINAL DE AGUAS RESIDUALES</v>
      </c>
      <c r="D75" s="178" t="str">
        <f t="shared" si="43"/>
        <v>DISPOSICIÓN FINAL</v>
      </c>
      <c r="E75" s="179" t="str">
        <f t="shared" si="43"/>
        <v>ACTIVO 7</v>
      </c>
      <c r="F75" s="189">
        <f t="shared" si="43"/>
        <v>8</v>
      </c>
      <c r="G75" s="190">
        <f t="shared" si="43"/>
        <v>3000000000</v>
      </c>
      <c r="H75" s="182">
        <f>+VLOOKUP(E75,'Tablero de Control'!$E$18:$I$24,5,FALSE)</f>
        <v>30</v>
      </c>
      <c r="I75" s="183">
        <f t="shared" si="41"/>
        <v>308393293.97621721</v>
      </c>
      <c r="J75" s="183">
        <f t="shared" si="42"/>
        <v>1765026821.5542903</v>
      </c>
      <c r="K75" s="194">
        <f t="shared" si="44"/>
        <v>0.17472442356691484</v>
      </c>
    </row>
    <row r="77" spans="2:11" x14ac:dyDescent="0.25">
      <c r="G77" s="195"/>
      <c r="J77" s="174" t="s">
        <v>106</v>
      </c>
      <c r="K77" s="196">
        <f>SUM(K69:K75)</f>
        <v>4.8767781617635935</v>
      </c>
    </row>
  </sheetData>
  <sheetProtection algorithmName="SHA-512" hashValue="Z6Lkmdy3RGZt3C62AJumc7hFp1Ljsfsm9P6pAHseYZtc6q/qwv0Ju92C1jYItSv3sBsI1YxsbXfpbx1bO3tXfg==" saltValue="2NFRfcF87eNGhue10X7RcA==" spinCount="100000" sheet="1" objects="1" scenarios="1"/>
  <mergeCells count="13">
    <mergeCell ref="B69:B72"/>
    <mergeCell ref="C69:C72"/>
    <mergeCell ref="B36:B39"/>
    <mergeCell ref="C36:C39"/>
    <mergeCell ref="B47:B50"/>
    <mergeCell ref="C47:C50"/>
    <mergeCell ref="B58:B61"/>
    <mergeCell ref="C58:C61"/>
    <mergeCell ref="B2:M6"/>
    <mergeCell ref="B14:B17"/>
    <mergeCell ref="C14:C17"/>
    <mergeCell ref="B25:B28"/>
    <mergeCell ref="C25:C2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'Tablero de Control'!$C$10:$C$11</xm:f>
          </x14:formula1>
          <xm:sqref>C6 C8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77"/>
  <sheetViews>
    <sheetView showGridLines="0" zoomScaleNormal="100" workbookViewId="0"/>
  </sheetViews>
  <sheetFormatPr baseColWidth="10" defaultColWidth="11.44140625" defaultRowHeight="13.2" x14ac:dyDescent="0.25"/>
  <cols>
    <col min="1" max="1" width="11.44140625" style="170"/>
    <col min="2" max="2" width="25.109375" style="170" customWidth="1"/>
    <col min="3" max="3" width="39.5546875" style="170" customWidth="1"/>
    <col min="4" max="4" width="21.5546875" style="170" bestFit="1" customWidth="1"/>
    <col min="5" max="5" width="16.88671875" style="170" bestFit="1" customWidth="1"/>
    <col min="6" max="6" width="14.88671875" style="170" customWidth="1"/>
    <col min="7" max="7" width="18.88671875" style="170" bestFit="1" customWidth="1"/>
    <col min="8" max="8" width="20" style="170" bestFit="1" customWidth="1"/>
    <col min="9" max="17" width="16.5546875" style="170" customWidth="1"/>
    <col min="18" max="19" width="15" style="170" bestFit="1" customWidth="1"/>
    <col min="20" max="28" width="14.88671875" style="170" bestFit="1" customWidth="1"/>
    <col min="29" max="30" width="11.44140625" style="170"/>
    <col min="31" max="39" width="13.44140625" style="170" bestFit="1" customWidth="1"/>
    <col min="40" max="42" width="8.88671875" style="170" bestFit="1" customWidth="1"/>
    <col min="43" max="50" width="14.88671875" style="170" bestFit="1" customWidth="1"/>
    <col min="51" max="60" width="12.44140625" style="170" bestFit="1" customWidth="1"/>
    <col min="61" max="62" width="16.44140625" style="170" bestFit="1" customWidth="1"/>
    <col min="63" max="16384" width="11.44140625" style="170"/>
  </cols>
  <sheetData>
    <row r="2" spans="2:19" x14ac:dyDescent="0.25">
      <c r="B2" s="169" t="s">
        <v>61</v>
      </c>
      <c r="C2" s="169"/>
      <c r="D2" s="169"/>
      <c r="E2" s="169"/>
      <c r="F2" s="169"/>
      <c r="G2" s="169"/>
      <c r="H2" s="169"/>
      <c r="I2" s="169"/>
      <c r="J2" s="169"/>
      <c r="K2" s="169"/>
      <c r="L2" s="169"/>
      <c r="M2" s="169"/>
    </row>
    <row r="3" spans="2:19" x14ac:dyDescent="0.25">
      <c r="B3" s="169"/>
      <c r="C3" s="169"/>
      <c r="D3" s="169"/>
      <c r="E3" s="169"/>
      <c r="F3" s="169"/>
      <c r="G3" s="169"/>
      <c r="H3" s="169"/>
      <c r="I3" s="169"/>
      <c r="J3" s="169"/>
      <c r="K3" s="169"/>
      <c r="L3" s="169"/>
      <c r="M3" s="169"/>
    </row>
    <row r="4" spans="2:19" ht="12.75" customHeight="1" x14ac:dyDescent="0.25">
      <c r="B4" s="169"/>
      <c r="C4" s="169"/>
      <c r="D4" s="169"/>
      <c r="E4" s="169"/>
      <c r="F4" s="169"/>
      <c r="G4" s="169"/>
      <c r="H4" s="169"/>
      <c r="I4" s="169"/>
      <c r="J4" s="169"/>
      <c r="K4" s="169"/>
      <c r="L4" s="169"/>
      <c r="M4" s="169"/>
    </row>
    <row r="5" spans="2:19" ht="12.75" customHeight="1" x14ac:dyDescent="0.25">
      <c r="B5" s="169"/>
      <c r="C5" s="169"/>
      <c r="D5" s="169"/>
      <c r="E5" s="169"/>
      <c r="F5" s="169"/>
      <c r="G5" s="169"/>
      <c r="H5" s="169"/>
      <c r="I5" s="169"/>
      <c r="J5" s="169"/>
      <c r="K5" s="169"/>
      <c r="L5" s="169"/>
      <c r="M5" s="169"/>
    </row>
    <row r="6" spans="2:19" ht="12.75" customHeight="1" x14ac:dyDescent="0.25">
      <c r="B6" s="169"/>
      <c r="C6" s="169"/>
      <c r="D6" s="169"/>
      <c r="E6" s="169"/>
      <c r="F6" s="169"/>
      <c r="G6" s="169"/>
      <c r="H6" s="169"/>
      <c r="I6" s="169"/>
      <c r="J6" s="169"/>
      <c r="K6" s="169"/>
      <c r="L6" s="169"/>
      <c r="M6" s="169"/>
    </row>
    <row r="7" spans="2:19" ht="12.75" customHeight="1" x14ac:dyDescent="0.25"/>
    <row r="8" spans="2:19" ht="14.4" x14ac:dyDescent="0.3">
      <c r="B8" s="197" t="s">
        <v>1</v>
      </c>
      <c r="C8" s="172">
        <v>0.12280000000000001</v>
      </c>
    </row>
    <row r="11" spans="2:19" ht="20.399999999999999" thickBot="1" x14ac:dyDescent="0.45">
      <c r="B11" s="173" t="s">
        <v>54</v>
      </c>
      <c r="C11" s="173"/>
      <c r="D11" s="173"/>
      <c r="E11" s="173"/>
      <c r="F11" s="173"/>
      <c r="G11" s="173"/>
    </row>
    <row r="12" spans="2:19" ht="13.8" thickTop="1" x14ac:dyDescent="0.25"/>
    <row r="13" spans="2:19" ht="26.4" x14ac:dyDescent="0.25">
      <c r="B13" s="174" t="s">
        <v>118</v>
      </c>
      <c r="C13" s="174" t="s">
        <v>119</v>
      </c>
      <c r="D13" s="174" t="str">
        <f>+'Tablero de Control'!D17</f>
        <v>Actividad del activo j</v>
      </c>
      <c r="E13" s="174" t="str">
        <f>+'Tablero de Control'!E17</f>
        <v>Identificación del activo</v>
      </c>
      <c r="F13" s="174" t="str">
        <f>+'Tablero de Control'!F17</f>
        <v>Año planeado</v>
      </c>
      <c r="G13" s="174" t="str">
        <f>+'Tablero de Control'!H17</f>
        <v>Valor POIR planeado del activo j</v>
      </c>
      <c r="H13" s="174" t="str">
        <f>+'Tablero de Control'!I17</f>
        <v>Vida Útil</v>
      </c>
      <c r="I13" s="175">
        <v>0</v>
      </c>
      <c r="J13" s="175">
        <v>1</v>
      </c>
      <c r="K13" s="175">
        <v>2</v>
      </c>
      <c r="L13" s="175">
        <v>3</v>
      </c>
      <c r="M13" s="175">
        <v>4</v>
      </c>
      <c r="N13" s="175">
        <v>5</v>
      </c>
      <c r="O13" s="175">
        <v>6</v>
      </c>
      <c r="P13" s="175">
        <v>7</v>
      </c>
      <c r="Q13" s="175">
        <v>8</v>
      </c>
      <c r="R13" s="175">
        <v>9</v>
      </c>
      <c r="S13" s="175">
        <v>10</v>
      </c>
    </row>
    <row r="14" spans="2:19" x14ac:dyDescent="0.25">
      <c r="B14" s="176" t="str">
        <f>+'Tablero de Control'!B18</f>
        <v>ACUEDUCTO</v>
      </c>
      <c r="C14" s="177" t="str">
        <f>+'Tablero de Control'!C18</f>
        <v>PRODUCCIÓN DE AGUA POTABLE</v>
      </c>
      <c r="D14" s="179" t="str">
        <f>+'Tablero de Control'!D18</f>
        <v>CAPTACIÓN</v>
      </c>
      <c r="E14" s="179" t="str">
        <f>+'Tablero de Control'!E18</f>
        <v>ACTIVO 1</v>
      </c>
      <c r="F14" s="198">
        <v>3</v>
      </c>
      <c r="G14" s="181">
        <f>+'Tablero de Control'!U18</f>
        <v>1000000000</v>
      </c>
      <c r="H14" s="182">
        <f>+VLOOKUP(E14,'Tablero de Control'!$E$18:$I$24,5,FALSE)</f>
        <v>40</v>
      </c>
      <c r="I14" s="183" t="str">
        <f t="shared" ref="I14:I20" si="0">+IF(I$13&lt;=$F14,"",$G14/$H14)</f>
        <v/>
      </c>
      <c r="J14" s="183">
        <f t="shared" ref="J14:S20" si="1">+IF(J$13&lt;=$F14,0,$G14/$H14)</f>
        <v>0</v>
      </c>
      <c r="K14" s="183">
        <f t="shared" si="1"/>
        <v>0</v>
      </c>
      <c r="L14" s="183">
        <f t="shared" si="1"/>
        <v>0</v>
      </c>
      <c r="M14" s="183">
        <f t="shared" si="1"/>
        <v>25000000</v>
      </c>
      <c r="N14" s="183">
        <f t="shared" si="1"/>
        <v>25000000</v>
      </c>
      <c r="O14" s="183">
        <f t="shared" si="1"/>
        <v>25000000</v>
      </c>
      <c r="P14" s="183">
        <f t="shared" si="1"/>
        <v>25000000</v>
      </c>
      <c r="Q14" s="183">
        <f t="shared" si="1"/>
        <v>25000000</v>
      </c>
      <c r="R14" s="183">
        <f t="shared" si="1"/>
        <v>25000000</v>
      </c>
      <c r="S14" s="183">
        <f t="shared" si="1"/>
        <v>25000000</v>
      </c>
    </row>
    <row r="15" spans="2:19" x14ac:dyDescent="0.25">
      <c r="B15" s="184"/>
      <c r="C15" s="185"/>
      <c r="D15" s="179" t="str">
        <f>+'Tablero de Control'!D19</f>
        <v xml:space="preserve">ADUCCIÓN </v>
      </c>
      <c r="E15" s="179" t="str">
        <f>+'Tablero de Control'!E19</f>
        <v>ACTIVO 2</v>
      </c>
      <c r="F15" s="180">
        <f>+'Tablero de Control'!F19</f>
        <v>5</v>
      </c>
      <c r="G15" s="181">
        <f>+'Tablero de Control'!U19</f>
        <v>1796360616.7850602</v>
      </c>
      <c r="H15" s="182">
        <f>+VLOOKUP(E15,'Tablero de Control'!$E$18:$I$24,5,FALSE)</f>
        <v>40</v>
      </c>
      <c r="I15" s="183" t="str">
        <f t="shared" si="0"/>
        <v/>
      </c>
      <c r="J15" s="183">
        <f t="shared" si="1"/>
        <v>0</v>
      </c>
      <c r="K15" s="183">
        <f t="shared" si="1"/>
        <v>0</v>
      </c>
      <c r="L15" s="183">
        <f t="shared" si="1"/>
        <v>0</v>
      </c>
      <c r="M15" s="183">
        <f t="shared" si="1"/>
        <v>0</v>
      </c>
      <c r="N15" s="183">
        <f t="shared" si="1"/>
        <v>0</v>
      </c>
      <c r="O15" s="183">
        <f t="shared" si="1"/>
        <v>44909015.419626504</v>
      </c>
      <c r="P15" s="183">
        <f t="shared" si="1"/>
        <v>44909015.419626504</v>
      </c>
      <c r="Q15" s="183">
        <f t="shared" si="1"/>
        <v>44909015.419626504</v>
      </c>
      <c r="R15" s="183">
        <f t="shared" si="1"/>
        <v>44909015.419626504</v>
      </c>
      <c r="S15" s="183">
        <f t="shared" si="1"/>
        <v>44909015.419626504</v>
      </c>
    </row>
    <row r="16" spans="2:19" x14ac:dyDescent="0.25">
      <c r="B16" s="184"/>
      <c r="C16" s="185"/>
      <c r="D16" s="179" t="str">
        <f>+'Tablero de Control'!D20</f>
        <v>PRETRATAMIENTO</v>
      </c>
      <c r="E16" s="179" t="str">
        <f>+'Tablero de Control'!E20</f>
        <v>ACTIVO 3</v>
      </c>
      <c r="F16" s="180">
        <f>+'Tablero de Control'!F20</f>
        <v>4</v>
      </c>
      <c r="G16" s="181">
        <f>+'Tablero de Control'!U20</f>
        <v>2000000000</v>
      </c>
      <c r="H16" s="182">
        <f>+VLOOKUP(E16,'Tablero de Control'!$E$18:$I$24,5,FALSE)</f>
        <v>30</v>
      </c>
      <c r="I16" s="183" t="str">
        <f t="shared" si="0"/>
        <v/>
      </c>
      <c r="J16" s="183">
        <f t="shared" si="1"/>
        <v>0</v>
      </c>
      <c r="K16" s="183">
        <f t="shared" si="1"/>
        <v>0</v>
      </c>
      <c r="L16" s="183">
        <f t="shared" si="1"/>
        <v>0</v>
      </c>
      <c r="M16" s="183">
        <f t="shared" si="1"/>
        <v>0</v>
      </c>
      <c r="N16" s="183">
        <f t="shared" si="1"/>
        <v>66666666.666666664</v>
      </c>
      <c r="O16" s="183">
        <f t="shared" si="1"/>
        <v>66666666.666666664</v>
      </c>
      <c r="P16" s="183">
        <f t="shared" si="1"/>
        <v>66666666.666666664</v>
      </c>
      <c r="Q16" s="183">
        <f t="shared" si="1"/>
        <v>66666666.666666664</v>
      </c>
      <c r="R16" s="183">
        <f t="shared" si="1"/>
        <v>66666666.666666664</v>
      </c>
      <c r="S16" s="183">
        <f t="shared" si="1"/>
        <v>66666666.666666664</v>
      </c>
    </row>
    <row r="17" spans="2:19" x14ac:dyDescent="0.25">
      <c r="B17" s="186"/>
      <c r="C17" s="187"/>
      <c r="D17" s="179" t="str">
        <f>+'Tablero de Control'!D21</f>
        <v>TRATAMIENTO</v>
      </c>
      <c r="E17" s="179" t="str">
        <f>+'Tablero de Control'!E21</f>
        <v>ACTIVO 4*</v>
      </c>
      <c r="F17" s="180">
        <f>+'Tablero de Control'!F21</f>
        <v>3</v>
      </c>
      <c r="G17" s="181">
        <f>+'Tablero de Control'!U21</f>
        <v>1800000000</v>
      </c>
      <c r="H17" s="182">
        <f>+VLOOKUP(E17,'Tablero de Control'!$E$18:$I$24,5,FALSE)</f>
        <v>40</v>
      </c>
      <c r="I17" s="183" t="str">
        <f t="shared" si="0"/>
        <v/>
      </c>
      <c r="J17" s="183">
        <f t="shared" si="1"/>
        <v>0</v>
      </c>
      <c r="K17" s="183">
        <f t="shared" si="1"/>
        <v>0</v>
      </c>
      <c r="L17" s="183">
        <f t="shared" si="1"/>
        <v>0</v>
      </c>
      <c r="M17" s="183">
        <f t="shared" si="1"/>
        <v>45000000</v>
      </c>
      <c r="N17" s="183">
        <f t="shared" si="1"/>
        <v>45000000</v>
      </c>
      <c r="O17" s="183">
        <f t="shared" si="1"/>
        <v>45000000</v>
      </c>
      <c r="P17" s="183">
        <f t="shared" si="1"/>
        <v>45000000</v>
      </c>
      <c r="Q17" s="183">
        <f t="shared" si="1"/>
        <v>45000000</v>
      </c>
      <c r="R17" s="183">
        <f t="shared" si="1"/>
        <v>45000000</v>
      </c>
      <c r="S17" s="183">
        <f t="shared" si="1"/>
        <v>45000000</v>
      </c>
    </row>
    <row r="18" spans="2:19" x14ac:dyDescent="0.25">
      <c r="B18" s="179" t="str">
        <f>+'Tablero de Control'!B22</f>
        <v>ACUEDUCTO</v>
      </c>
      <c r="C18" s="178" t="str">
        <f>+'Tablero de Control'!C22</f>
        <v>TRANSPORTE DE AGUA POTABLE</v>
      </c>
      <c r="D18" s="179" t="str">
        <f>+'Tablero de Control'!D22</f>
        <v xml:space="preserve">CONDUCCIÓN </v>
      </c>
      <c r="E18" s="179" t="str">
        <f>+'Tablero de Control'!E22</f>
        <v>ACTIVO 5</v>
      </c>
      <c r="F18" s="180">
        <f>+'Tablero de Control'!F22</f>
        <v>2</v>
      </c>
      <c r="G18" s="181">
        <f>+'Tablero de Control'!U22</f>
        <v>8000000000</v>
      </c>
      <c r="H18" s="182">
        <f>+VLOOKUP(E18,'Tablero de Control'!$E$18:$I$24,5,FALSE)</f>
        <v>40</v>
      </c>
      <c r="I18" s="183" t="str">
        <f t="shared" si="0"/>
        <v/>
      </c>
      <c r="J18" s="183">
        <f t="shared" si="1"/>
        <v>0</v>
      </c>
      <c r="K18" s="183">
        <f t="shared" si="1"/>
        <v>0</v>
      </c>
      <c r="L18" s="183">
        <f t="shared" si="1"/>
        <v>200000000</v>
      </c>
      <c r="M18" s="183">
        <f t="shared" si="1"/>
        <v>200000000</v>
      </c>
      <c r="N18" s="183">
        <f t="shared" si="1"/>
        <v>200000000</v>
      </c>
      <c r="O18" s="183">
        <f t="shared" si="1"/>
        <v>200000000</v>
      </c>
      <c r="P18" s="183">
        <f t="shared" si="1"/>
        <v>200000000</v>
      </c>
      <c r="Q18" s="183">
        <f t="shared" si="1"/>
        <v>200000000</v>
      </c>
      <c r="R18" s="183">
        <f t="shared" si="1"/>
        <v>200000000</v>
      </c>
      <c r="S18" s="183">
        <f t="shared" si="1"/>
        <v>200000000</v>
      </c>
    </row>
    <row r="19" spans="2:19" ht="26.4" x14ac:dyDescent="0.25">
      <c r="B19" s="179" t="str">
        <f>+'Tablero de Control'!B23</f>
        <v>ALCANTARILLADO</v>
      </c>
      <c r="C19" s="178" t="str">
        <f>+'Tablero de Control'!C23</f>
        <v>RECOLECCIÓN Y TRANSPORTE DE AGUAS RESIDUALES</v>
      </c>
      <c r="D19" s="179" t="str">
        <f>+'Tablero de Control'!D23</f>
        <v>ELEVACIÓN Y BOMBEO</v>
      </c>
      <c r="E19" s="179" t="str">
        <f>+'Tablero de Control'!E23</f>
        <v>ACTIVO 6</v>
      </c>
      <c r="F19" s="180">
        <f>+'Tablero de Control'!F23</f>
        <v>2</v>
      </c>
      <c r="G19" s="181">
        <f>+'Tablero de Control'!U23</f>
        <v>2500000000</v>
      </c>
      <c r="H19" s="182">
        <f>+VLOOKUP(E19,'Tablero de Control'!$E$18:$I$24,5,FALSE)</f>
        <v>35</v>
      </c>
      <c r="I19" s="183" t="str">
        <f t="shared" si="0"/>
        <v/>
      </c>
      <c r="J19" s="183">
        <f t="shared" si="1"/>
        <v>0</v>
      </c>
      <c r="K19" s="183">
        <f t="shared" si="1"/>
        <v>0</v>
      </c>
      <c r="L19" s="183">
        <f t="shared" si="1"/>
        <v>71428571.428571433</v>
      </c>
      <c r="M19" s="183">
        <f t="shared" si="1"/>
        <v>71428571.428571433</v>
      </c>
      <c r="N19" s="183">
        <f t="shared" si="1"/>
        <v>71428571.428571433</v>
      </c>
      <c r="O19" s="183">
        <f t="shared" si="1"/>
        <v>71428571.428571433</v>
      </c>
      <c r="P19" s="183">
        <f t="shared" si="1"/>
        <v>71428571.428571433</v>
      </c>
      <c r="Q19" s="183">
        <f t="shared" si="1"/>
        <v>71428571.428571433</v>
      </c>
      <c r="R19" s="183">
        <f t="shared" si="1"/>
        <v>71428571.428571433</v>
      </c>
      <c r="S19" s="183">
        <f t="shared" si="1"/>
        <v>71428571.428571433</v>
      </c>
    </row>
    <row r="20" spans="2:19" ht="26.4" x14ac:dyDescent="0.25">
      <c r="B20" s="179" t="str">
        <f>+'Tablero de Control'!B24</f>
        <v>ALCANTARILLADO</v>
      </c>
      <c r="C20" s="178" t="str">
        <f>+'Tablero de Control'!C24</f>
        <v>TRATAMIENTO Y/O DISPOSICIÓN FINAL DE AGUAS RESIDUALES</v>
      </c>
      <c r="D20" s="179" t="str">
        <f>+'Tablero de Control'!D24</f>
        <v>DISPOSICIÓN FINAL</v>
      </c>
      <c r="E20" s="179" t="str">
        <f>+'Tablero de Control'!E24</f>
        <v>ACTIVO 7</v>
      </c>
      <c r="F20" s="180">
        <f>+'Tablero de Control'!F24</f>
        <v>8</v>
      </c>
      <c r="G20" s="181">
        <f>+'Tablero de Control'!U24</f>
        <v>3000000000</v>
      </c>
      <c r="H20" s="182">
        <f>+VLOOKUP(E20,'Tablero de Control'!$E$18:$I$24,5,FALSE)</f>
        <v>30</v>
      </c>
      <c r="I20" s="183" t="str">
        <f t="shared" si="0"/>
        <v/>
      </c>
      <c r="J20" s="183">
        <f t="shared" si="1"/>
        <v>0</v>
      </c>
      <c r="K20" s="183">
        <f t="shared" si="1"/>
        <v>0</v>
      </c>
      <c r="L20" s="183">
        <f t="shared" si="1"/>
        <v>0</v>
      </c>
      <c r="M20" s="183">
        <f t="shared" si="1"/>
        <v>0</v>
      </c>
      <c r="N20" s="183">
        <f t="shared" si="1"/>
        <v>0</v>
      </c>
      <c r="O20" s="183">
        <f t="shared" si="1"/>
        <v>0</v>
      </c>
      <c r="P20" s="183">
        <f t="shared" si="1"/>
        <v>0</v>
      </c>
      <c r="Q20" s="183">
        <f t="shared" si="1"/>
        <v>0</v>
      </c>
      <c r="R20" s="183">
        <f t="shared" si="1"/>
        <v>100000000</v>
      </c>
      <c r="S20" s="183">
        <f t="shared" si="1"/>
        <v>100000000</v>
      </c>
    </row>
    <row r="22" spans="2:19" ht="20.399999999999999" thickBot="1" x14ac:dyDescent="0.45">
      <c r="B22" s="173" t="s">
        <v>55</v>
      </c>
      <c r="C22" s="173"/>
      <c r="D22" s="173"/>
      <c r="E22" s="173"/>
      <c r="F22" s="173"/>
      <c r="G22" s="173"/>
    </row>
    <row r="23" spans="2:19" ht="13.8" thickTop="1" x14ac:dyDescent="0.25"/>
    <row r="24" spans="2:19" ht="26.4" x14ac:dyDescent="0.25">
      <c r="B24" s="174" t="s">
        <v>118</v>
      </c>
      <c r="C24" s="174" t="s">
        <v>119</v>
      </c>
      <c r="D24" s="174" t="str">
        <f>+D13</f>
        <v>Actividad del activo j</v>
      </c>
      <c r="E24" s="174" t="str">
        <f>+E13</f>
        <v>Identificación del activo</v>
      </c>
      <c r="F24" s="174" t="str">
        <f>+F13</f>
        <v>Año planeado</v>
      </c>
      <c r="G24" s="174" t="str">
        <f>+G13</f>
        <v>Valor POIR planeado del activo j</v>
      </c>
      <c r="H24" s="174" t="str">
        <f>+H13</f>
        <v>Vida Útil</v>
      </c>
      <c r="I24" s="188">
        <v>0</v>
      </c>
      <c r="J24" s="188">
        <v>1</v>
      </c>
      <c r="K24" s="188">
        <v>2</v>
      </c>
      <c r="L24" s="188">
        <v>3</v>
      </c>
      <c r="M24" s="188">
        <v>4</v>
      </c>
      <c r="N24" s="188">
        <v>5</v>
      </c>
      <c r="O24" s="188">
        <v>6</v>
      </c>
      <c r="P24" s="188">
        <v>7</v>
      </c>
      <c r="Q24" s="188">
        <v>8</v>
      </c>
      <c r="R24" s="188">
        <v>9</v>
      </c>
      <c r="S24" s="188">
        <v>10</v>
      </c>
    </row>
    <row r="25" spans="2:19" x14ac:dyDescent="0.25">
      <c r="B25" s="176" t="str">
        <f t="shared" ref="B25:G25" si="2">+B14</f>
        <v>ACUEDUCTO</v>
      </c>
      <c r="C25" s="177" t="str">
        <f t="shared" si="2"/>
        <v>PRODUCCIÓN DE AGUA POTABLE</v>
      </c>
      <c r="D25" s="179" t="str">
        <f t="shared" si="2"/>
        <v>CAPTACIÓN</v>
      </c>
      <c r="E25" s="179" t="str">
        <f t="shared" si="2"/>
        <v>ACTIVO 1</v>
      </c>
      <c r="F25" s="189">
        <f t="shared" si="2"/>
        <v>3</v>
      </c>
      <c r="G25" s="190">
        <f t="shared" si="2"/>
        <v>1000000000</v>
      </c>
      <c r="H25" s="182">
        <f>+VLOOKUP(E25,'Tablero de Control'!$E$18:$I$24,5,FALSE)</f>
        <v>40</v>
      </c>
      <c r="I25" s="183" t="str">
        <f t="shared" ref="I25:I31" si="3">+IF($F14=I$24,$G14,IF($F14&gt;I$24,"",S14-I14))</f>
        <v/>
      </c>
      <c r="J25" s="183">
        <f t="shared" ref="J25:S25" si="4">+IF($F14=J$24,$G14,IF($F14&gt;J$24,0,I25-J14))</f>
        <v>0</v>
      </c>
      <c r="K25" s="183">
        <f t="shared" si="4"/>
        <v>0</v>
      </c>
      <c r="L25" s="183">
        <f t="shared" si="4"/>
        <v>1000000000</v>
      </c>
      <c r="M25" s="183">
        <f t="shared" si="4"/>
        <v>975000000</v>
      </c>
      <c r="N25" s="183">
        <f t="shared" si="4"/>
        <v>950000000</v>
      </c>
      <c r="O25" s="183">
        <f t="shared" si="4"/>
        <v>925000000</v>
      </c>
      <c r="P25" s="183">
        <f t="shared" si="4"/>
        <v>900000000</v>
      </c>
      <c r="Q25" s="183">
        <f t="shared" si="4"/>
        <v>875000000</v>
      </c>
      <c r="R25" s="183">
        <f t="shared" si="4"/>
        <v>850000000</v>
      </c>
      <c r="S25" s="183">
        <f t="shared" si="4"/>
        <v>825000000</v>
      </c>
    </row>
    <row r="26" spans="2:19" x14ac:dyDescent="0.25">
      <c r="B26" s="184"/>
      <c r="C26" s="185"/>
      <c r="D26" s="179" t="str">
        <f t="shared" ref="D26:G31" si="5">+D15</f>
        <v xml:space="preserve">ADUCCIÓN </v>
      </c>
      <c r="E26" s="179" t="str">
        <f t="shared" si="5"/>
        <v>ACTIVO 2</v>
      </c>
      <c r="F26" s="189">
        <f t="shared" si="5"/>
        <v>5</v>
      </c>
      <c r="G26" s="190">
        <f t="shared" si="5"/>
        <v>1796360616.7850602</v>
      </c>
      <c r="H26" s="182">
        <f>+VLOOKUP(E26,'Tablero de Control'!$E$18:$I$24,5,FALSE)</f>
        <v>40</v>
      </c>
      <c r="I26" s="183" t="str">
        <f t="shared" si="3"/>
        <v/>
      </c>
      <c r="J26" s="183">
        <f t="shared" ref="J26:S26" si="6">+IF($F15=J$24,$G15,IF($F15&gt;J$24,0,I26-J15))</f>
        <v>0</v>
      </c>
      <c r="K26" s="183">
        <f t="shared" si="6"/>
        <v>0</v>
      </c>
      <c r="L26" s="183">
        <f t="shared" si="6"/>
        <v>0</v>
      </c>
      <c r="M26" s="183">
        <f t="shared" si="6"/>
        <v>0</v>
      </c>
      <c r="N26" s="183">
        <f t="shared" si="6"/>
        <v>1796360616.7850602</v>
      </c>
      <c r="O26" s="183">
        <f t="shared" si="6"/>
        <v>1751451601.3654337</v>
      </c>
      <c r="P26" s="183">
        <f t="shared" si="6"/>
        <v>1706542585.9458072</v>
      </c>
      <c r="Q26" s="183">
        <f t="shared" si="6"/>
        <v>1661633570.5261807</v>
      </c>
      <c r="R26" s="183">
        <f t="shared" si="6"/>
        <v>1616724555.1065543</v>
      </c>
      <c r="S26" s="183">
        <f t="shared" si="6"/>
        <v>1571815539.6869278</v>
      </c>
    </row>
    <row r="27" spans="2:19" x14ac:dyDescent="0.25">
      <c r="B27" s="184"/>
      <c r="C27" s="185"/>
      <c r="D27" s="179" t="str">
        <f t="shared" si="5"/>
        <v>PRETRATAMIENTO</v>
      </c>
      <c r="E27" s="179" t="str">
        <f t="shared" si="5"/>
        <v>ACTIVO 3</v>
      </c>
      <c r="F27" s="189">
        <f t="shared" si="5"/>
        <v>4</v>
      </c>
      <c r="G27" s="190">
        <f t="shared" si="5"/>
        <v>2000000000</v>
      </c>
      <c r="H27" s="182">
        <f>+VLOOKUP(E27,'Tablero de Control'!$E$18:$I$24,5,FALSE)</f>
        <v>30</v>
      </c>
      <c r="I27" s="183" t="str">
        <f t="shared" si="3"/>
        <v/>
      </c>
      <c r="J27" s="183">
        <f t="shared" ref="J27:S27" si="7">+IF($F16=J$24,$G16,IF($F16&gt;J$24,0,I27-J16))</f>
        <v>0</v>
      </c>
      <c r="K27" s="183">
        <f t="shared" si="7"/>
        <v>0</v>
      </c>
      <c r="L27" s="183">
        <f t="shared" si="7"/>
        <v>0</v>
      </c>
      <c r="M27" s="183">
        <f t="shared" si="7"/>
        <v>2000000000</v>
      </c>
      <c r="N27" s="183">
        <f t="shared" si="7"/>
        <v>1933333333.3333333</v>
      </c>
      <c r="O27" s="183">
        <f t="shared" si="7"/>
        <v>1866666666.6666665</v>
      </c>
      <c r="P27" s="183">
        <f t="shared" si="7"/>
        <v>1799999999.9999998</v>
      </c>
      <c r="Q27" s="183">
        <f t="shared" si="7"/>
        <v>1733333333.333333</v>
      </c>
      <c r="R27" s="183">
        <f t="shared" si="7"/>
        <v>1666666666.6666663</v>
      </c>
      <c r="S27" s="183">
        <f t="shared" si="7"/>
        <v>1599999999.9999995</v>
      </c>
    </row>
    <row r="28" spans="2:19" x14ac:dyDescent="0.25">
      <c r="B28" s="186"/>
      <c r="C28" s="187"/>
      <c r="D28" s="179" t="str">
        <f t="shared" si="5"/>
        <v>TRATAMIENTO</v>
      </c>
      <c r="E28" s="179" t="str">
        <f t="shared" si="5"/>
        <v>ACTIVO 4*</v>
      </c>
      <c r="F28" s="189">
        <f t="shared" si="5"/>
        <v>3</v>
      </c>
      <c r="G28" s="190">
        <f t="shared" si="5"/>
        <v>1800000000</v>
      </c>
      <c r="H28" s="182">
        <f>+VLOOKUP(E28,'Tablero de Control'!$E$18:$I$24,5,FALSE)</f>
        <v>40</v>
      </c>
      <c r="I28" s="183" t="str">
        <f t="shared" si="3"/>
        <v/>
      </c>
      <c r="J28" s="183">
        <f t="shared" ref="J28:S28" si="8">+IF($F17=J$24,$G17,IF($F17&gt;J$24,0,I28-J17))</f>
        <v>0</v>
      </c>
      <c r="K28" s="183">
        <f t="shared" si="8"/>
        <v>0</v>
      </c>
      <c r="L28" s="183">
        <f t="shared" si="8"/>
        <v>1800000000</v>
      </c>
      <c r="M28" s="183">
        <f t="shared" si="8"/>
        <v>1755000000</v>
      </c>
      <c r="N28" s="183">
        <f t="shared" si="8"/>
        <v>1710000000</v>
      </c>
      <c r="O28" s="183">
        <f t="shared" si="8"/>
        <v>1665000000</v>
      </c>
      <c r="P28" s="183">
        <f t="shared" si="8"/>
        <v>1620000000</v>
      </c>
      <c r="Q28" s="183">
        <f t="shared" si="8"/>
        <v>1575000000</v>
      </c>
      <c r="R28" s="183">
        <f t="shared" si="8"/>
        <v>1530000000</v>
      </c>
      <c r="S28" s="183">
        <f t="shared" si="8"/>
        <v>1485000000</v>
      </c>
    </row>
    <row r="29" spans="2:19" x14ac:dyDescent="0.25">
      <c r="B29" s="179" t="str">
        <f>+B18</f>
        <v>ACUEDUCTO</v>
      </c>
      <c r="C29" s="178" t="str">
        <f>+C18</f>
        <v>TRANSPORTE DE AGUA POTABLE</v>
      </c>
      <c r="D29" s="179" t="str">
        <f t="shared" si="5"/>
        <v xml:space="preserve">CONDUCCIÓN </v>
      </c>
      <c r="E29" s="179" t="str">
        <f t="shared" si="5"/>
        <v>ACTIVO 5</v>
      </c>
      <c r="F29" s="189">
        <f t="shared" si="5"/>
        <v>2</v>
      </c>
      <c r="G29" s="190">
        <f t="shared" si="5"/>
        <v>8000000000</v>
      </c>
      <c r="H29" s="182">
        <f>+VLOOKUP(E29,'Tablero de Control'!$E$18:$I$24,5,FALSE)</f>
        <v>40</v>
      </c>
      <c r="I29" s="183" t="str">
        <f t="shared" si="3"/>
        <v/>
      </c>
      <c r="J29" s="183">
        <f t="shared" ref="J29:S29" si="9">+IF($F18=J$24,$G18,IF($F18&gt;J$24,0,I29-J18))</f>
        <v>0</v>
      </c>
      <c r="K29" s="183">
        <f t="shared" si="9"/>
        <v>8000000000</v>
      </c>
      <c r="L29" s="183">
        <f t="shared" si="9"/>
        <v>7800000000</v>
      </c>
      <c r="M29" s="183">
        <f t="shared" si="9"/>
        <v>7600000000</v>
      </c>
      <c r="N29" s="183">
        <f t="shared" si="9"/>
        <v>7400000000</v>
      </c>
      <c r="O29" s="183">
        <f t="shared" si="9"/>
        <v>7200000000</v>
      </c>
      <c r="P29" s="183">
        <f t="shared" si="9"/>
        <v>7000000000</v>
      </c>
      <c r="Q29" s="183">
        <f t="shared" si="9"/>
        <v>6800000000</v>
      </c>
      <c r="R29" s="183">
        <f t="shared" si="9"/>
        <v>6600000000</v>
      </c>
      <c r="S29" s="183">
        <f t="shared" si="9"/>
        <v>6400000000</v>
      </c>
    </row>
    <row r="30" spans="2:19" ht="26.4" x14ac:dyDescent="0.25">
      <c r="B30" s="179" t="str">
        <f t="shared" ref="B30:C31" si="10">+B19</f>
        <v>ALCANTARILLADO</v>
      </c>
      <c r="C30" s="178" t="str">
        <f t="shared" si="10"/>
        <v>RECOLECCIÓN Y TRANSPORTE DE AGUAS RESIDUALES</v>
      </c>
      <c r="D30" s="179" t="str">
        <f t="shared" si="5"/>
        <v>ELEVACIÓN Y BOMBEO</v>
      </c>
      <c r="E30" s="179" t="str">
        <f t="shared" si="5"/>
        <v>ACTIVO 6</v>
      </c>
      <c r="F30" s="189">
        <f t="shared" si="5"/>
        <v>2</v>
      </c>
      <c r="G30" s="190">
        <f t="shared" si="5"/>
        <v>2500000000</v>
      </c>
      <c r="H30" s="182">
        <f>+VLOOKUP(E30,'Tablero de Control'!$E$18:$I$24,5,FALSE)</f>
        <v>35</v>
      </c>
      <c r="I30" s="183" t="str">
        <f t="shared" si="3"/>
        <v/>
      </c>
      <c r="J30" s="183">
        <f t="shared" ref="J30:S30" si="11">+IF($F19=J$24,$G19,IF($F19&gt;J$24,0,I30-J19))</f>
        <v>0</v>
      </c>
      <c r="K30" s="183">
        <f t="shared" si="11"/>
        <v>2500000000</v>
      </c>
      <c r="L30" s="183">
        <f t="shared" si="11"/>
        <v>2428571428.5714288</v>
      </c>
      <c r="M30" s="183">
        <f t="shared" si="11"/>
        <v>2357142857.1428576</v>
      </c>
      <c r="N30" s="183">
        <f t="shared" si="11"/>
        <v>2285714285.7142863</v>
      </c>
      <c r="O30" s="183">
        <f t="shared" si="11"/>
        <v>2214285714.2857151</v>
      </c>
      <c r="P30" s="183">
        <f t="shared" si="11"/>
        <v>2142857142.8571436</v>
      </c>
      <c r="Q30" s="183">
        <f t="shared" si="11"/>
        <v>2071428571.4285722</v>
      </c>
      <c r="R30" s="183">
        <f t="shared" si="11"/>
        <v>2000000000.0000007</v>
      </c>
      <c r="S30" s="183">
        <f t="shared" si="11"/>
        <v>1928571428.5714293</v>
      </c>
    </row>
    <row r="31" spans="2:19" ht="26.4" x14ac:dyDescent="0.25">
      <c r="B31" s="179" t="str">
        <f t="shared" si="10"/>
        <v>ALCANTARILLADO</v>
      </c>
      <c r="C31" s="178" t="str">
        <f t="shared" si="10"/>
        <v>TRATAMIENTO Y/O DISPOSICIÓN FINAL DE AGUAS RESIDUALES</v>
      </c>
      <c r="D31" s="179" t="str">
        <f t="shared" si="5"/>
        <v>DISPOSICIÓN FINAL</v>
      </c>
      <c r="E31" s="179" t="str">
        <f t="shared" si="5"/>
        <v>ACTIVO 7</v>
      </c>
      <c r="F31" s="189">
        <f t="shared" si="5"/>
        <v>8</v>
      </c>
      <c r="G31" s="190">
        <f t="shared" si="5"/>
        <v>3000000000</v>
      </c>
      <c r="H31" s="182">
        <f>+VLOOKUP(E31,'Tablero de Control'!$E$18:$I$24,5,FALSE)</f>
        <v>30</v>
      </c>
      <c r="I31" s="183" t="str">
        <f t="shared" si="3"/>
        <v/>
      </c>
      <c r="J31" s="183">
        <f t="shared" ref="J31:S31" si="12">+IF($F20=J$24,$G20,IF($F20&gt;J$24,0,I31-J20))</f>
        <v>0</v>
      </c>
      <c r="K31" s="183">
        <f t="shared" si="12"/>
        <v>0</v>
      </c>
      <c r="L31" s="183">
        <f t="shared" si="12"/>
        <v>0</v>
      </c>
      <c r="M31" s="183">
        <f t="shared" si="12"/>
        <v>0</v>
      </c>
      <c r="N31" s="183">
        <f t="shared" si="12"/>
        <v>0</v>
      </c>
      <c r="O31" s="183">
        <f t="shared" si="12"/>
        <v>0</v>
      </c>
      <c r="P31" s="183">
        <f t="shared" si="12"/>
        <v>0</v>
      </c>
      <c r="Q31" s="183">
        <f t="shared" si="12"/>
        <v>3000000000</v>
      </c>
      <c r="R31" s="183">
        <f t="shared" si="12"/>
        <v>2900000000</v>
      </c>
      <c r="S31" s="183">
        <f t="shared" si="12"/>
        <v>2800000000</v>
      </c>
    </row>
    <row r="33" spans="2:19" ht="20.399999999999999" thickBot="1" x14ac:dyDescent="0.45">
      <c r="B33" s="173" t="s">
        <v>105</v>
      </c>
      <c r="C33" s="173"/>
      <c r="D33" s="173"/>
      <c r="E33" s="173"/>
      <c r="F33" s="173"/>
      <c r="G33" s="173"/>
    </row>
    <row r="34" spans="2:19" ht="13.8" thickTop="1" x14ac:dyDescent="0.25"/>
    <row r="35" spans="2:19" ht="26.4" x14ac:dyDescent="0.25">
      <c r="B35" s="174" t="s">
        <v>118</v>
      </c>
      <c r="C35" s="174" t="s">
        <v>119</v>
      </c>
      <c r="D35" s="174" t="str">
        <f>+D24</f>
        <v>Actividad del activo j</v>
      </c>
      <c r="E35" s="174" t="str">
        <f>+E24</f>
        <v>Identificación del activo</v>
      </c>
      <c r="F35" s="174" t="str">
        <f>+F24</f>
        <v>Año planeado</v>
      </c>
      <c r="G35" s="174" t="str">
        <f>+G24</f>
        <v>Valor POIR planeado del activo j</v>
      </c>
      <c r="H35" s="174" t="str">
        <f>+H24</f>
        <v>Vida Útil</v>
      </c>
      <c r="I35" s="174"/>
      <c r="J35" s="174" t="s">
        <v>40</v>
      </c>
      <c r="K35" s="174" t="s">
        <v>30</v>
      </c>
      <c r="L35" s="174" t="s">
        <v>31</v>
      </c>
      <c r="M35" s="174" t="s">
        <v>32</v>
      </c>
      <c r="N35" s="174" t="s">
        <v>33</v>
      </c>
      <c r="O35" s="174" t="s">
        <v>34</v>
      </c>
      <c r="P35" s="174" t="s">
        <v>35</v>
      </c>
      <c r="Q35" s="174" t="s">
        <v>36</v>
      </c>
      <c r="R35" s="174" t="s">
        <v>37</v>
      </c>
      <c r="S35" s="174" t="s">
        <v>38</v>
      </c>
    </row>
    <row r="36" spans="2:19" x14ac:dyDescent="0.25">
      <c r="B36" s="176" t="str">
        <f t="shared" ref="B36:G36" si="13">+B25</f>
        <v>ACUEDUCTO</v>
      </c>
      <c r="C36" s="177" t="str">
        <f t="shared" si="13"/>
        <v>PRODUCCIÓN DE AGUA POTABLE</v>
      </c>
      <c r="D36" s="179" t="str">
        <f t="shared" si="13"/>
        <v>CAPTACIÓN</v>
      </c>
      <c r="E36" s="179" t="str">
        <f t="shared" si="13"/>
        <v>ACTIVO 1</v>
      </c>
      <c r="F36" s="189">
        <f t="shared" si="13"/>
        <v>3</v>
      </c>
      <c r="G36" s="190">
        <f t="shared" si="13"/>
        <v>1000000000</v>
      </c>
      <c r="H36" s="182">
        <f>+VLOOKUP(E36,'Tablero de Control'!$E$18:$I$24,5,FALSE)</f>
        <v>40</v>
      </c>
      <c r="I36" s="183" t="str">
        <f t="shared" ref="I36:I42" si="14">+IFERROR(IF($F14&gt;I$24,"",H25*$C$8),"")</f>
        <v/>
      </c>
      <c r="J36" s="183">
        <f t="shared" ref="J36:S36" si="15">+IFERROR(IF($F14&gt;J$24,0,I25*$C$8),"")</f>
        <v>0</v>
      </c>
      <c r="K36" s="183">
        <f t="shared" si="15"/>
        <v>0</v>
      </c>
      <c r="L36" s="183">
        <f t="shared" si="15"/>
        <v>0</v>
      </c>
      <c r="M36" s="183">
        <f t="shared" si="15"/>
        <v>122800000</v>
      </c>
      <c r="N36" s="183">
        <f t="shared" si="15"/>
        <v>119730000</v>
      </c>
      <c r="O36" s="183">
        <f t="shared" si="15"/>
        <v>116660000</v>
      </c>
      <c r="P36" s="183">
        <f t="shared" si="15"/>
        <v>113590000</v>
      </c>
      <c r="Q36" s="183">
        <f t="shared" si="15"/>
        <v>110520000</v>
      </c>
      <c r="R36" s="183">
        <f t="shared" si="15"/>
        <v>107450000</v>
      </c>
      <c r="S36" s="183">
        <f t="shared" si="15"/>
        <v>104380000</v>
      </c>
    </row>
    <row r="37" spans="2:19" x14ac:dyDescent="0.25">
      <c r="B37" s="184"/>
      <c r="C37" s="185"/>
      <c r="D37" s="179" t="str">
        <f t="shared" ref="D37:G42" si="16">+D26</f>
        <v xml:space="preserve">ADUCCIÓN </v>
      </c>
      <c r="E37" s="179" t="str">
        <f t="shared" si="16"/>
        <v>ACTIVO 2</v>
      </c>
      <c r="F37" s="189">
        <f t="shared" si="16"/>
        <v>5</v>
      </c>
      <c r="G37" s="190">
        <f t="shared" si="16"/>
        <v>1796360616.7850602</v>
      </c>
      <c r="H37" s="182">
        <f>+VLOOKUP(E37,'Tablero de Control'!$E$18:$I$24,5,FALSE)</f>
        <v>40</v>
      </c>
      <c r="I37" s="183" t="str">
        <f t="shared" si="14"/>
        <v/>
      </c>
      <c r="J37" s="183">
        <f t="shared" ref="J37:S37" si="17">+IFERROR(IF($F15&gt;J$24,0,I26*$C$8),"")</f>
        <v>0</v>
      </c>
      <c r="K37" s="183">
        <f t="shared" si="17"/>
        <v>0</v>
      </c>
      <c r="L37" s="183">
        <f t="shared" si="17"/>
        <v>0</v>
      </c>
      <c r="M37" s="183">
        <f t="shared" si="17"/>
        <v>0</v>
      </c>
      <c r="N37" s="183">
        <f t="shared" si="17"/>
        <v>0</v>
      </c>
      <c r="O37" s="183">
        <f t="shared" si="17"/>
        <v>220593083.74120539</v>
      </c>
      <c r="P37" s="183">
        <f t="shared" si="17"/>
        <v>215078256.64767528</v>
      </c>
      <c r="Q37" s="183">
        <f t="shared" si="17"/>
        <v>209563429.55414513</v>
      </c>
      <c r="R37" s="183">
        <f t="shared" si="17"/>
        <v>204048602.46061501</v>
      </c>
      <c r="S37" s="183">
        <f t="shared" si="17"/>
        <v>198533775.36708486</v>
      </c>
    </row>
    <row r="38" spans="2:19" x14ac:dyDescent="0.25">
      <c r="B38" s="184"/>
      <c r="C38" s="185"/>
      <c r="D38" s="179" t="str">
        <f t="shared" si="16"/>
        <v>PRETRATAMIENTO</v>
      </c>
      <c r="E38" s="179" t="str">
        <f t="shared" si="16"/>
        <v>ACTIVO 3</v>
      </c>
      <c r="F38" s="189">
        <f t="shared" si="16"/>
        <v>4</v>
      </c>
      <c r="G38" s="190">
        <f t="shared" si="16"/>
        <v>2000000000</v>
      </c>
      <c r="H38" s="182">
        <f>+VLOOKUP(E38,'Tablero de Control'!$E$18:$I$24,5,FALSE)</f>
        <v>30</v>
      </c>
      <c r="I38" s="183" t="str">
        <f t="shared" si="14"/>
        <v/>
      </c>
      <c r="J38" s="183">
        <f t="shared" ref="J38:S38" si="18">+IFERROR(IF($F16&gt;J$24,0,I27*$C$8),"")</f>
        <v>0</v>
      </c>
      <c r="K38" s="183">
        <f t="shared" si="18"/>
        <v>0</v>
      </c>
      <c r="L38" s="183">
        <f t="shared" si="18"/>
        <v>0</v>
      </c>
      <c r="M38" s="183">
        <f t="shared" si="18"/>
        <v>0</v>
      </c>
      <c r="N38" s="183">
        <f t="shared" si="18"/>
        <v>245600000</v>
      </c>
      <c r="O38" s="183">
        <f t="shared" si="18"/>
        <v>237413333.33333334</v>
      </c>
      <c r="P38" s="183">
        <f t="shared" si="18"/>
        <v>229226666.66666666</v>
      </c>
      <c r="Q38" s="183">
        <f t="shared" si="18"/>
        <v>221039999.99999997</v>
      </c>
      <c r="R38" s="183">
        <f t="shared" si="18"/>
        <v>212853333.33333331</v>
      </c>
      <c r="S38" s="183">
        <f t="shared" si="18"/>
        <v>204666666.66666663</v>
      </c>
    </row>
    <row r="39" spans="2:19" x14ac:dyDescent="0.25">
      <c r="B39" s="186"/>
      <c r="C39" s="187"/>
      <c r="D39" s="179" t="str">
        <f t="shared" si="16"/>
        <v>TRATAMIENTO</v>
      </c>
      <c r="E39" s="179" t="str">
        <f t="shared" si="16"/>
        <v>ACTIVO 4*</v>
      </c>
      <c r="F39" s="189">
        <f t="shared" si="16"/>
        <v>3</v>
      </c>
      <c r="G39" s="190">
        <f t="shared" si="16"/>
        <v>1800000000</v>
      </c>
      <c r="H39" s="182">
        <f>+VLOOKUP(E39,'Tablero de Control'!$E$18:$I$24,5,FALSE)</f>
        <v>40</v>
      </c>
      <c r="I39" s="183" t="str">
        <f t="shared" si="14"/>
        <v/>
      </c>
      <c r="J39" s="183">
        <f t="shared" ref="J39:S39" si="19">+IFERROR(IF($F17&gt;J$24,0,I28*$C$8),"")</f>
        <v>0</v>
      </c>
      <c r="K39" s="183">
        <f t="shared" si="19"/>
        <v>0</v>
      </c>
      <c r="L39" s="183">
        <f t="shared" si="19"/>
        <v>0</v>
      </c>
      <c r="M39" s="183">
        <f t="shared" si="19"/>
        <v>221040000</v>
      </c>
      <c r="N39" s="183">
        <f t="shared" si="19"/>
        <v>215514000</v>
      </c>
      <c r="O39" s="183">
        <f t="shared" si="19"/>
        <v>209988000</v>
      </c>
      <c r="P39" s="183">
        <f t="shared" si="19"/>
        <v>204462000</v>
      </c>
      <c r="Q39" s="183">
        <f t="shared" si="19"/>
        <v>198936000</v>
      </c>
      <c r="R39" s="183">
        <f t="shared" si="19"/>
        <v>193410000</v>
      </c>
      <c r="S39" s="183">
        <f t="shared" si="19"/>
        <v>187884000</v>
      </c>
    </row>
    <row r="40" spans="2:19" x14ac:dyDescent="0.25">
      <c r="B40" s="179" t="str">
        <f>+B29</f>
        <v>ACUEDUCTO</v>
      </c>
      <c r="C40" s="178" t="str">
        <f>+C29</f>
        <v>TRANSPORTE DE AGUA POTABLE</v>
      </c>
      <c r="D40" s="179" t="str">
        <f t="shared" si="16"/>
        <v xml:space="preserve">CONDUCCIÓN </v>
      </c>
      <c r="E40" s="179" t="str">
        <f t="shared" si="16"/>
        <v>ACTIVO 5</v>
      </c>
      <c r="F40" s="189">
        <f t="shared" si="16"/>
        <v>2</v>
      </c>
      <c r="G40" s="190">
        <f t="shared" si="16"/>
        <v>8000000000</v>
      </c>
      <c r="H40" s="182">
        <f>+VLOOKUP(E40,'Tablero de Control'!$E$18:$I$24,5,FALSE)</f>
        <v>40</v>
      </c>
      <c r="I40" s="183" t="str">
        <f t="shared" si="14"/>
        <v/>
      </c>
      <c r="J40" s="183">
        <f t="shared" ref="J40:S40" si="20">+IFERROR(IF($F18&gt;J$24,0,I29*$C$8),"")</f>
        <v>0</v>
      </c>
      <c r="K40" s="183">
        <f t="shared" si="20"/>
        <v>0</v>
      </c>
      <c r="L40" s="183">
        <f t="shared" si="20"/>
        <v>982400000</v>
      </c>
      <c r="M40" s="183">
        <f t="shared" si="20"/>
        <v>957840000</v>
      </c>
      <c r="N40" s="183">
        <f t="shared" si="20"/>
        <v>933280000</v>
      </c>
      <c r="O40" s="183">
        <f t="shared" si="20"/>
        <v>908720000</v>
      </c>
      <c r="P40" s="183">
        <f t="shared" si="20"/>
        <v>884160000</v>
      </c>
      <c r="Q40" s="183">
        <f t="shared" si="20"/>
        <v>859600000</v>
      </c>
      <c r="R40" s="183">
        <f t="shared" si="20"/>
        <v>835040000</v>
      </c>
      <c r="S40" s="183">
        <f t="shared" si="20"/>
        <v>810480000</v>
      </c>
    </row>
    <row r="41" spans="2:19" ht="26.4" x14ac:dyDescent="0.25">
      <c r="B41" s="179" t="str">
        <f t="shared" ref="B41:C41" si="21">+B30</f>
        <v>ALCANTARILLADO</v>
      </c>
      <c r="C41" s="178" t="str">
        <f t="shared" si="21"/>
        <v>RECOLECCIÓN Y TRANSPORTE DE AGUAS RESIDUALES</v>
      </c>
      <c r="D41" s="179" t="str">
        <f t="shared" si="16"/>
        <v>ELEVACIÓN Y BOMBEO</v>
      </c>
      <c r="E41" s="179" t="str">
        <f t="shared" si="16"/>
        <v>ACTIVO 6</v>
      </c>
      <c r="F41" s="189">
        <f t="shared" si="16"/>
        <v>2</v>
      </c>
      <c r="G41" s="190">
        <f t="shared" si="16"/>
        <v>2500000000</v>
      </c>
      <c r="H41" s="182">
        <f>+VLOOKUP(E41,'Tablero de Control'!$E$18:$I$24,5,FALSE)</f>
        <v>35</v>
      </c>
      <c r="I41" s="183" t="str">
        <f t="shared" si="14"/>
        <v/>
      </c>
      <c r="J41" s="183">
        <f t="shared" ref="J41:S41" si="22">+IFERROR(IF($F19&gt;J$24,0,I30*$C$8),"")</f>
        <v>0</v>
      </c>
      <c r="K41" s="183">
        <f t="shared" si="22"/>
        <v>0</v>
      </c>
      <c r="L41" s="183">
        <f t="shared" si="22"/>
        <v>307000000</v>
      </c>
      <c r="M41" s="183">
        <f t="shared" si="22"/>
        <v>298228571.42857146</v>
      </c>
      <c r="N41" s="183">
        <f t="shared" si="22"/>
        <v>289457142.85714293</v>
      </c>
      <c r="O41" s="183">
        <f t="shared" si="22"/>
        <v>280685714.28571439</v>
      </c>
      <c r="P41" s="183">
        <f t="shared" si="22"/>
        <v>271914285.71428585</v>
      </c>
      <c r="Q41" s="183">
        <f t="shared" si="22"/>
        <v>263142857.14285725</v>
      </c>
      <c r="R41" s="183">
        <f t="shared" si="22"/>
        <v>254371428.57142869</v>
      </c>
      <c r="S41" s="183">
        <f t="shared" si="22"/>
        <v>245600000.00000009</v>
      </c>
    </row>
    <row r="42" spans="2:19" ht="26.4" x14ac:dyDescent="0.25">
      <c r="B42" s="179" t="str">
        <f t="shared" ref="B42:C42" si="23">+B31</f>
        <v>ALCANTARILLADO</v>
      </c>
      <c r="C42" s="178" t="str">
        <f t="shared" si="23"/>
        <v>TRATAMIENTO Y/O DISPOSICIÓN FINAL DE AGUAS RESIDUALES</v>
      </c>
      <c r="D42" s="179" t="str">
        <f t="shared" si="16"/>
        <v>DISPOSICIÓN FINAL</v>
      </c>
      <c r="E42" s="179" t="str">
        <f t="shared" si="16"/>
        <v>ACTIVO 7</v>
      </c>
      <c r="F42" s="189">
        <f t="shared" si="16"/>
        <v>8</v>
      </c>
      <c r="G42" s="190">
        <f t="shared" si="16"/>
        <v>3000000000</v>
      </c>
      <c r="H42" s="182">
        <f>+VLOOKUP(E42,'Tablero de Control'!$E$18:$I$24,5,FALSE)</f>
        <v>30</v>
      </c>
      <c r="I42" s="183" t="str">
        <f t="shared" si="14"/>
        <v/>
      </c>
      <c r="J42" s="183">
        <f t="shared" ref="J42:S42" si="24">+IFERROR(IF($F20&gt;J$24,0,I31*$C$8),"")</f>
        <v>0</v>
      </c>
      <c r="K42" s="183">
        <f t="shared" si="24"/>
        <v>0</v>
      </c>
      <c r="L42" s="183">
        <f t="shared" si="24"/>
        <v>0</v>
      </c>
      <c r="M42" s="183">
        <f t="shared" si="24"/>
        <v>0</v>
      </c>
      <c r="N42" s="183">
        <f t="shared" si="24"/>
        <v>0</v>
      </c>
      <c r="O42" s="183">
        <f t="shared" si="24"/>
        <v>0</v>
      </c>
      <c r="P42" s="183">
        <f t="shared" si="24"/>
        <v>0</v>
      </c>
      <c r="Q42" s="183">
        <f t="shared" si="24"/>
        <v>0</v>
      </c>
      <c r="R42" s="183">
        <f t="shared" si="24"/>
        <v>368400000</v>
      </c>
      <c r="S42" s="183">
        <f t="shared" si="24"/>
        <v>356120000</v>
      </c>
    </row>
    <row r="44" spans="2:19" ht="20.399999999999999" thickBot="1" x14ac:dyDescent="0.45">
      <c r="B44" s="173" t="s">
        <v>57</v>
      </c>
      <c r="C44" s="173"/>
      <c r="D44" s="173"/>
      <c r="E44" s="173"/>
      <c r="F44" s="173"/>
      <c r="G44" s="173"/>
    </row>
    <row r="45" spans="2:19" ht="13.8" thickTop="1" x14ac:dyDescent="0.25"/>
    <row r="46" spans="2:19" ht="26.4" x14ac:dyDescent="0.25">
      <c r="B46" s="174" t="s">
        <v>118</v>
      </c>
      <c r="C46" s="174" t="s">
        <v>119</v>
      </c>
      <c r="D46" s="174" t="str">
        <f>+D35</f>
        <v>Actividad del activo j</v>
      </c>
      <c r="E46" s="174" t="str">
        <f>+E35</f>
        <v>Identificación del activo</v>
      </c>
      <c r="F46" s="174" t="str">
        <f>+F35</f>
        <v>Año planeado</v>
      </c>
      <c r="G46" s="174" t="str">
        <f>+G35</f>
        <v>Valor POIR planeado del activo j</v>
      </c>
      <c r="H46" s="174" t="str">
        <f>+H35</f>
        <v>Vida Útil</v>
      </c>
      <c r="I46" s="191">
        <v>0</v>
      </c>
      <c r="J46" s="191">
        <v>1</v>
      </c>
      <c r="K46" s="191">
        <v>2</v>
      </c>
      <c r="L46" s="191">
        <v>3</v>
      </c>
      <c r="M46" s="191">
        <v>4</v>
      </c>
      <c r="N46" s="191">
        <v>5</v>
      </c>
      <c r="O46" s="191">
        <v>6</v>
      </c>
      <c r="P46" s="191">
        <v>7</v>
      </c>
      <c r="Q46" s="191">
        <v>8</v>
      </c>
      <c r="R46" s="191">
        <v>9</v>
      </c>
      <c r="S46" s="191">
        <v>10</v>
      </c>
    </row>
    <row r="47" spans="2:19" x14ac:dyDescent="0.25">
      <c r="B47" s="176" t="str">
        <f t="shared" ref="B47:G47" si="25">+B36</f>
        <v>ACUEDUCTO</v>
      </c>
      <c r="C47" s="177" t="str">
        <f t="shared" si="25"/>
        <v>PRODUCCIÓN DE AGUA POTABLE</v>
      </c>
      <c r="D47" s="179" t="str">
        <f t="shared" si="25"/>
        <v>CAPTACIÓN</v>
      </c>
      <c r="E47" s="179" t="str">
        <f t="shared" si="25"/>
        <v>ACTIVO 1</v>
      </c>
      <c r="F47" s="189">
        <f t="shared" si="25"/>
        <v>3</v>
      </c>
      <c r="G47" s="190">
        <f t="shared" si="25"/>
        <v>1000000000</v>
      </c>
      <c r="H47" s="182">
        <f>+VLOOKUP(E47,'Tablero de Control'!$E$18:$I$24,5,FALSE)</f>
        <v>40</v>
      </c>
      <c r="I47" s="183" t="str">
        <f t="shared" ref="I47:S47" si="26">+IFERROR(I36+I14,"")</f>
        <v/>
      </c>
      <c r="J47" s="183">
        <f t="shared" si="26"/>
        <v>0</v>
      </c>
      <c r="K47" s="183">
        <f t="shared" si="26"/>
        <v>0</v>
      </c>
      <c r="L47" s="183">
        <f t="shared" si="26"/>
        <v>0</v>
      </c>
      <c r="M47" s="183">
        <f t="shared" si="26"/>
        <v>147800000</v>
      </c>
      <c r="N47" s="183">
        <f t="shared" si="26"/>
        <v>144730000</v>
      </c>
      <c r="O47" s="183">
        <f t="shared" si="26"/>
        <v>141660000</v>
      </c>
      <c r="P47" s="183">
        <f t="shared" si="26"/>
        <v>138590000</v>
      </c>
      <c r="Q47" s="183">
        <f t="shared" si="26"/>
        <v>135520000</v>
      </c>
      <c r="R47" s="183">
        <f t="shared" si="26"/>
        <v>132450000</v>
      </c>
      <c r="S47" s="183">
        <f t="shared" si="26"/>
        <v>129380000</v>
      </c>
    </row>
    <row r="48" spans="2:19" x14ac:dyDescent="0.25">
      <c r="B48" s="184"/>
      <c r="C48" s="185"/>
      <c r="D48" s="179" t="str">
        <f t="shared" ref="D48:G53" si="27">+D37</f>
        <v xml:space="preserve">ADUCCIÓN </v>
      </c>
      <c r="E48" s="179" t="str">
        <f t="shared" si="27"/>
        <v>ACTIVO 2</v>
      </c>
      <c r="F48" s="189">
        <f t="shared" si="27"/>
        <v>5</v>
      </c>
      <c r="G48" s="190">
        <f t="shared" si="27"/>
        <v>1796360616.7850602</v>
      </c>
      <c r="H48" s="182">
        <f>+VLOOKUP(E48,'Tablero de Control'!$E$18:$I$24,5,FALSE)</f>
        <v>40</v>
      </c>
      <c r="I48" s="183" t="str">
        <f t="shared" ref="I48:S48" si="28">+IFERROR(I37+I15,"")</f>
        <v/>
      </c>
      <c r="J48" s="183">
        <f t="shared" si="28"/>
        <v>0</v>
      </c>
      <c r="K48" s="183">
        <f t="shared" si="28"/>
        <v>0</v>
      </c>
      <c r="L48" s="183">
        <f t="shared" si="28"/>
        <v>0</v>
      </c>
      <c r="M48" s="183">
        <f t="shared" si="28"/>
        <v>0</v>
      </c>
      <c r="N48" s="183">
        <f t="shared" si="28"/>
        <v>0</v>
      </c>
      <c r="O48" s="183">
        <f t="shared" si="28"/>
        <v>265502099.1608319</v>
      </c>
      <c r="P48" s="183">
        <f t="shared" si="28"/>
        <v>259987272.06730178</v>
      </c>
      <c r="Q48" s="183">
        <f t="shared" si="28"/>
        <v>254472444.97377163</v>
      </c>
      <c r="R48" s="183">
        <f t="shared" si="28"/>
        <v>248957617.88024151</v>
      </c>
      <c r="S48" s="183">
        <f t="shared" si="28"/>
        <v>243442790.78671136</v>
      </c>
    </row>
    <row r="49" spans="2:19" x14ac:dyDescent="0.25">
      <c r="B49" s="184"/>
      <c r="C49" s="185"/>
      <c r="D49" s="179" t="str">
        <f t="shared" si="27"/>
        <v>PRETRATAMIENTO</v>
      </c>
      <c r="E49" s="179" t="str">
        <f t="shared" si="27"/>
        <v>ACTIVO 3</v>
      </c>
      <c r="F49" s="189">
        <f t="shared" si="27"/>
        <v>4</v>
      </c>
      <c r="G49" s="190">
        <f t="shared" si="27"/>
        <v>2000000000</v>
      </c>
      <c r="H49" s="182">
        <f>+VLOOKUP(E49,'Tablero de Control'!$E$18:$I$24,5,FALSE)</f>
        <v>30</v>
      </c>
      <c r="I49" s="183" t="str">
        <f t="shared" ref="I49:S49" si="29">+IFERROR(I38+I16,"")</f>
        <v/>
      </c>
      <c r="J49" s="183">
        <f t="shared" si="29"/>
        <v>0</v>
      </c>
      <c r="K49" s="183">
        <f t="shared" si="29"/>
        <v>0</v>
      </c>
      <c r="L49" s="183">
        <f t="shared" si="29"/>
        <v>0</v>
      </c>
      <c r="M49" s="183">
        <f t="shared" si="29"/>
        <v>0</v>
      </c>
      <c r="N49" s="183">
        <f t="shared" si="29"/>
        <v>312266666.66666669</v>
      </c>
      <c r="O49" s="183">
        <f t="shared" si="29"/>
        <v>304080000</v>
      </c>
      <c r="P49" s="183">
        <f t="shared" si="29"/>
        <v>295893333.33333331</v>
      </c>
      <c r="Q49" s="183">
        <f t="shared" si="29"/>
        <v>287706666.66666663</v>
      </c>
      <c r="R49" s="183">
        <f t="shared" si="29"/>
        <v>279520000</v>
      </c>
      <c r="S49" s="183">
        <f t="shared" si="29"/>
        <v>271333333.33333331</v>
      </c>
    </row>
    <row r="50" spans="2:19" x14ac:dyDescent="0.25">
      <c r="B50" s="186"/>
      <c r="C50" s="187"/>
      <c r="D50" s="179" t="str">
        <f t="shared" si="27"/>
        <v>TRATAMIENTO</v>
      </c>
      <c r="E50" s="179" t="str">
        <f t="shared" si="27"/>
        <v>ACTIVO 4*</v>
      </c>
      <c r="F50" s="189">
        <f t="shared" si="27"/>
        <v>3</v>
      </c>
      <c r="G50" s="190">
        <f t="shared" si="27"/>
        <v>1800000000</v>
      </c>
      <c r="H50" s="182">
        <f>+VLOOKUP(E50,'Tablero de Control'!$E$18:$I$24,5,FALSE)</f>
        <v>40</v>
      </c>
      <c r="I50" s="183" t="str">
        <f t="shared" ref="I50:S50" si="30">+IFERROR(I39+I17,"")</f>
        <v/>
      </c>
      <c r="J50" s="183">
        <f t="shared" si="30"/>
        <v>0</v>
      </c>
      <c r="K50" s="183">
        <f t="shared" si="30"/>
        <v>0</v>
      </c>
      <c r="L50" s="183">
        <f t="shared" si="30"/>
        <v>0</v>
      </c>
      <c r="M50" s="183">
        <f t="shared" si="30"/>
        <v>266040000</v>
      </c>
      <c r="N50" s="183">
        <f t="shared" si="30"/>
        <v>260514000</v>
      </c>
      <c r="O50" s="183">
        <f t="shared" si="30"/>
        <v>254988000</v>
      </c>
      <c r="P50" s="183">
        <f t="shared" si="30"/>
        <v>249462000</v>
      </c>
      <c r="Q50" s="183">
        <f t="shared" si="30"/>
        <v>243936000</v>
      </c>
      <c r="R50" s="183">
        <f t="shared" si="30"/>
        <v>238410000</v>
      </c>
      <c r="S50" s="183">
        <f t="shared" si="30"/>
        <v>232884000</v>
      </c>
    </row>
    <row r="51" spans="2:19" x14ac:dyDescent="0.25">
      <c r="B51" s="179" t="str">
        <f>+B40</f>
        <v>ACUEDUCTO</v>
      </c>
      <c r="C51" s="178" t="str">
        <f>+C40</f>
        <v>TRANSPORTE DE AGUA POTABLE</v>
      </c>
      <c r="D51" s="179" t="str">
        <f t="shared" si="27"/>
        <v xml:space="preserve">CONDUCCIÓN </v>
      </c>
      <c r="E51" s="179" t="str">
        <f t="shared" si="27"/>
        <v>ACTIVO 5</v>
      </c>
      <c r="F51" s="189">
        <f t="shared" si="27"/>
        <v>2</v>
      </c>
      <c r="G51" s="190">
        <f t="shared" si="27"/>
        <v>8000000000</v>
      </c>
      <c r="H51" s="182">
        <f>+VLOOKUP(E51,'Tablero de Control'!$E$18:$I$24,5,FALSE)</f>
        <v>40</v>
      </c>
      <c r="I51" s="183" t="str">
        <f t="shared" ref="I51:S51" si="31">+IFERROR(I40+I18,"")</f>
        <v/>
      </c>
      <c r="J51" s="183">
        <f t="shared" si="31"/>
        <v>0</v>
      </c>
      <c r="K51" s="183">
        <f t="shared" si="31"/>
        <v>0</v>
      </c>
      <c r="L51" s="183">
        <f t="shared" si="31"/>
        <v>1182400000</v>
      </c>
      <c r="M51" s="183">
        <f t="shared" si="31"/>
        <v>1157840000</v>
      </c>
      <c r="N51" s="183">
        <f t="shared" si="31"/>
        <v>1133280000</v>
      </c>
      <c r="O51" s="183">
        <f t="shared" si="31"/>
        <v>1108720000</v>
      </c>
      <c r="P51" s="183">
        <f t="shared" si="31"/>
        <v>1084160000</v>
      </c>
      <c r="Q51" s="183">
        <f t="shared" si="31"/>
        <v>1059600000</v>
      </c>
      <c r="R51" s="183">
        <f t="shared" si="31"/>
        <v>1035040000</v>
      </c>
      <c r="S51" s="183">
        <f t="shared" si="31"/>
        <v>1010480000</v>
      </c>
    </row>
    <row r="52" spans="2:19" ht="26.4" x14ac:dyDescent="0.25">
      <c r="B52" s="179" t="str">
        <f t="shared" ref="B52:C52" si="32">+B41</f>
        <v>ALCANTARILLADO</v>
      </c>
      <c r="C52" s="178" t="str">
        <f t="shared" si="32"/>
        <v>RECOLECCIÓN Y TRANSPORTE DE AGUAS RESIDUALES</v>
      </c>
      <c r="D52" s="179" t="str">
        <f t="shared" si="27"/>
        <v>ELEVACIÓN Y BOMBEO</v>
      </c>
      <c r="E52" s="179" t="str">
        <f t="shared" si="27"/>
        <v>ACTIVO 6</v>
      </c>
      <c r="F52" s="189">
        <f t="shared" si="27"/>
        <v>2</v>
      </c>
      <c r="G52" s="190">
        <f t="shared" si="27"/>
        <v>2500000000</v>
      </c>
      <c r="H52" s="182">
        <f>+VLOOKUP(E52,'Tablero de Control'!$E$18:$I$24,5,FALSE)</f>
        <v>35</v>
      </c>
      <c r="I52" s="183" t="str">
        <f t="shared" ref="I52:S52" si="33">+IFERROR(I41+I19,"")</f>
        <v/>
      </c>
      <c r="J52" s="183">
        <f t="shared" si="33"/>
        <v>0</v>
      </c>
      <c r="K52" s="183">
        <f t="shared" si="33"/>
        <v>0</v>
      </c>
      <c r="L52" s="183">
        <f t="shared" si="33"/>
        <v>378428571.42857146</v>
      </c>
      <c r="M52" s="183">
        <f t="shared" si="33"/>
        <v>369657142.85714293</v>
      </c>
      <c r="N52" s="183">
        <f t="shared" si="33"/>
        <v>360885714.28571439</v>
      </c>
      <c r="O52" s="183">
        <f t="shared" si="33"/>
        <v>352114285.71428585</v>
      </c>
      <c r="P52" s="183">
        <f t="shared" si="33"/>
        <v>343342857.14285731</v>
      </c>
      <c r="Q52" s="183">
        <f t="shared" si="33"/>
        <v>334571428.57142866</v>
      </c>
      <c r="R52" s="183">
        <f t="shared" si="33"/>
        <v>325800000.00000012</v>
      </c>
      <c r="S52" s="183">
        <f t="shared" si="33"/>
        <v>317028571.42857152</v>
      </c>
    </row>
    <row r="53" spans="2:19" ht="26.4" x14ac:dyDescent="0.25">
      <c r="B53" s="179" t="str">
        <f t="shared" ref="B53:C53" si="34">+B42</f>
        <v>ALCANTARILLADO</v>
      </c>
      <c r="C53" s="178" t="str">
        <f t="shared" si="34"/>
        <v>TRATAMIENTO Y/O DISPOSICIÓN FINAL DE AGUAS RESIDUALES</v>
      </c>
      <c r="D53" s="179" t="str">
        <f t="shared" si="27"/>
        <v>DISPOSICIÓN FINAL</v>
      </c>
      <c r="E53" s="179" t="str">
        <f t="shared" si="27"/>
        <v>ACTIVO 7</v>
      </c>
      <c r="F53" s="189">
        <f t="shared" si="27"/>
        <v>8</v>
      </c>
      <c r="G53" s="190">
        <f t="shared" si="27"/>
        <v>3000000000</v>
      </c>
      <c r="H53" s="182">
        <f>+VLOOKUP(E53,'Tablero de Control'!$E$18:$I$24,5,FALSE)</f>
        <v>30</v>
      </c>
      <c r="I53" s="183" t="str">
        <f t="shared" ref="I53:S53" si="35">+IFERROR(I42+I20,"")</f>
        <v/>
      </c>
      <c r="J53" s="183">
        <f t="shared" si="35"/>
        <v>0</v>
      </c>
      <c r="K53" s="183">
        <f t="shared" si="35"/>
        <v>0</v>
      </c>
      <c r="L53" s="183">
        <f t="shared" si="35"/>
        <v>0</v>
      </c>
      <c r="M53" s="183">
        <f t="shared" si="35"/>
        <v>0</v>
      </c>
      <c r="N53" s="183">
        <f t="shared" si="35"/>
        <v>0</v>
      </c>
      <c r="O53" s="183">
        <f t="shared" si="35"/>
        <v>0</v>
      </c>
      <c r="P53" s="183">
        <f t="shared" si="35"/>
        <v>0</v>
      </c>
      <c r="Q53" s="183">
        <f t="shared" si="35"/>
        <v>0</v>
      </c>
      <c r="R53" s="183">
        <f t="shared" si="35"/>
        <v>468400000</v>
      </c>
      <c r="S53" s="183">
        <f t="shared" si="35"/>
        <v>456120000</v>
      </c>
    </row>
    <row r="55" spans="2:19" ht="20.399999999999999" thickBot="1" x14ac:dyDescent="0.45">
      <c r="B55" s="173" t="s">
        <v>58</v>
      </c>
      <c r="C55" s="173"/>
      <c r="D55" s="173"/>
      <c r="E55" s="173"/>
      <c r="F55" s="173"/>
      <c r="G55" s="173"/>
    </row>
    <row r="56" spans="2:19" ht="13.8" thickTop="1" x14ac:dyDescent="0.25"/>
    <row r="57" spans="2:19" ht="26.4" x14ac:dyDescent="0.25">
      <c r="B57" s="174" t="s">
        <v>118</v>
      </c>
      <c r="C57" s="174" t="s">
        <v>119</v>
      </c>
      <c r="D57" s="174" t="str">
        <f>+D46</f>
        <v>Actividad del activo j</v>
      </c>
      <c r="E57" s="174" t="str">
        <f>+E46</f>
        <v>Identificación del activo</v>
      </c>
      <c r="F57" s="174" t="str">
        <f>+F46</f>
        <v>Año planeado</v>
      </c>
      <c r="G57" s="174" t="str">
        <f>+G46</f>
        <v>Valor POIR planeado del activo j</v>
      </c>
      <c r="H57" s="174" t="str">
        <f>+H46</f>
        <v>Vida Útil</v>
      </c>
      <c r="I57" s="192">
        <v>1</v>
      </c>
      <c r="J57" s="192">
        <v>2</v>
      </c>
      <c r="K57" s="192">
        <v>3</v>
      </c>
      <c r="L57" s="192">
        <v>4</v>
      </c>
      <c r="M57" s="192">
        <v>5</v>
      </c>
      <c r="N57" s="192">
        <v>6</v>
      </c>
      <c r="O57" s="192">
        <v>7</v>
      </c>
      <c r="P57" s="192">
        <v>8</v>
      </c>
      <c r="Q57" s="192">
        <v>9</v>
      </c>
      <c r="R57" s="192">
        <v>10</v>
      </c>
    </row>
    <row r="58" spans="2:19" x14ac:dyDescent="0.25">
      <c r="B58" s="176" t="str">
        <f t="shared" ref="B58:G58" si="36">+B47</f>
        <v>ACUEDUCTO</v>
      </c>
      <c r="C58" s="177" t="str">
        <f t="shared" si="36"/>
        <v>PRODUCCIÓN DE AGUA POTABLE</v>
      </c>
      <c r="D58" s="179" t="str">
        <f t="shared" si="36"/>
        <v>CAPTACIÓN</v>
      </c>
      <c r="E58" s="179" t="str">
        <f t="shared" si="36"/>
        <v>ACTIVO 1</v>
      </c>
      <c r="F58" s="189">
        <f t="shared" si="36"/>
        <v>3</v>
      </c>
      <c r="G58" s="190">
        <f t="shared" si="36"/>
        <v>1000000000</v>
      </c>
      <c r="H58" s="182">
        <f>+VLOOKUP(E58,'Tablero de Control'!$E$18:$I$24,5,FALSE)</f>
        <v>40</v>
      </c>
      <c r="I58" s="193">
        <f>+'Tablero de Control'!C$32</f>
        <v>304749279.12</v>
      </c>
      <c r="J58" s="193">
        <f>+'Tablero de Control'!D$32</f>
        <v>310063070.75999999</v>
      </c>
      <c r="K58" s="193">
        <f>+'Tablero de Control'!E$32</f>
        <v>313111354.31999999</v>
      </c>
      <c r="L58" s="193">
        <f>+'Tablero de Control'!F$32</f>
        <v>316489046.99999994</v>
      </c>
      <c r="M58" s="193">
        <f>+'Tablero de Control'!G$32</f>
        <v>318866646.84000003</v>
      </c>
      <c r="N58" s="193">
        <f>+'Tablero de Control'!H$32</f>
        <v>320080372.08000004</v>
      </c>
      <c r="O58" s="193">
        <f>+'Tablero de Control'!I$32</f>
        <v>321828145.32000005</v>
      </c>
      <c r="P58" s="193">
        <f>+'Tablero de Control'!J$32</f>
        <v>323889184.07999998</v>
      </c>
      <c r="Q58" s="193">
        <f>+'Tablero de Control'!K$32</f>
        <v>325889684.63999999</v>
      </c>
      <c r="R58" s="193">
        <f>+'Tablero de Control'!L$32</f>
        <v>327001087.31999993</v>
      </c>
    </row>
    <row r="59" spans="2:19" x14ac:dyDescent="0.25">
      <c r="B59" s="184"/>
      <c r="C59" s="185"/>
      <c r="D59" s="179" t="str">
        <f t="shared" ref="D59:G64" si="37">+D48</f>
        <v xml:space="preserve">ADUCCIÓN </v>
      </c>
      <c r="E59" s="179" t="str">
        <f t="shared" si="37"/>
        <v>ACTIVO 2</v>
      </c>
      <c r="F59" s="189">
        <f t="shared" si="37"/>
        <v>5</v>
      </c>
      <c r="G59" s="190">
        <f t="shared" si="37"/>
        <v>1796360616.7850602</v>
      </c>
      <c r="H59" s="182">
        <f>+VLOOKUP(E59,'Tablero de Control'!$E$18:$I$24,5,FALSE)</f>
        <v>40</v>
      </c>
      <c r="I59" s="193">
        <f>+'Tablero de Control'!C$32</f>
        <v>304749279.12</v>
      </c>
      <c r="J59" s="193">
        <f>+'Tablero de Control'!D$32</f>
        <v>310063070.75999999</v>
      </c>
      <c r="K59" s="193">
        <f>+'Tablero de Control'!E$32</f>
        <v>313111354.31999999</v>
      </c>
      <c r="L59" s="193">
        <f>+'Tablero de Control'!F$32</f>
        <v>316489046.99999994</v>
      </c>
      <c r="M59" s="193">
        <f>+'Tablero de Control'!G$32</f>
        <v>318866646.84000003</v>
      </c>
      <c r="N59" s="193">
        <f>+'Tablero de Control'!H$32</f>
        <v>320080372.08000004</v>
      </c>
      <c r="O59" s="193">
        <f>+'Tablero de Control'!I$32</f>
        <v>321828145.32000005</v>
      </c>
      <c r="P59" s="193">
        <f>+'Tablero de Control'!J$32</f>
        <v>323889184.07999998</v>
      </c>
      <c r="Q59" s="193">
        <f>+'Tablero de Control'!K$32</f>
        <v>325889684.63999999</v>
      </c>
      <c r="R59" s="193">
        <f>+'Tablero de Control'!L$32</f>
        <v>327001087.31999993</v>
      </c>
    </row>
    <row r="60" spans="2:19" x14ac:dyDescent="0.25">
      <c r="B60" s="184"/>
      <c r="C60" s="185"/>
      <c r="D60" s="179" t="str">
        <f t="shared" si="37"/>
        <v>PRETRATAMIENTO</v>
      </c>
      <c r="E60" s="179" t="str">
        <f t="shared" si="37"/>
        <v>ACTIVO 3</v>
      </c>
      <c r="F60" s="189">
        <f t="shared" si="37"/>
        <v>4</v>
      </c>
      <c r="G60" s="190">
        <f t="shared" si="37"/>
        <v>2000000000</v>
      </c>
      <c r="H60" s="182">
        <f>+VLOOKUP(E60,'Tablero de Control'!$E$18:$I$24,5,FALSE)</f>
        <v>30</v>
      </c>
      <c r="I60" s="193">
        <f>+'Tablero de Control'!C$32</f>
        <v>304749279.12</v>
      </c>
      <c r="J60" s="193">
        <f>+'Tablero de Control'!D$32</f>
        <v>310063070.75999999</v>
      </c>
      <c r="K60" s="193">
        <f>+'Tablero de Control'!E$32</f>
        <v>313111354.31999999</v>
      </c>
      <c r="L60" s="193">
        <f>+'Tablero de Control'!F$32</f>
        <v>316489046.99999994</v>
      </c>
      <c r="M60" s="193">
        <f>+'Tablero de Control'!G$32</f>
        <v>318866646.84000003</v>
      </c>
      <c r="N60" s="193">
        <f>+'Tablero de Control'!H$32</f>
        <v>320080372.08000004</v>
      </c>
      <c r="O60" s="193">
        <f>+'Tablero de Control'!I$32</f>
        <v>321828145.32000005</v>
      </c>
      <c r="P60" s="193">
        <f>+'Tablero de Control'!J$32</f>
        <v>323889184.07999998</v>
      </c>
      <c r="Q60" s="193">
        <f>+'Tablero de Control'!K$32</f>
        <v>325889684.63999999</v>
      </c>
      <c r="R60" s="193">
        <f>+'Tablero de Control'!L$32</f>
        <v>327001087.31999993</v>
      </c>
    </row>
    <row r="61" spans="2:19" x14ac:dyDescent="0.25">
      <c r="B61" s="186"/>
      <c r="C61" s="187"/>
      <c r="D61" s="179" t="str">
        <f t="shared" si="37"/>
        <v>TRATAMIENTO</v>
      </c>
      <c r="E61" s="179" t="str">
        <f t="shared" si="37"/>
        <v>ACTIVO 4*</v>
      </c>
      <c r="F61" s="189">
        <f t="shared" si="37"/>
        <v>3</v>
      </c>
      <c r="G61" s="190">
        <f t="shared" si="37"/>
        <v>1800000000</v>
      </c>
      <c r="H61" s="182">
        <f>+VLOOKUP(E61,'Tablero de Control'!$E$18:$I$24,5,FALSE)</f>
        <v>40</v>
      </c>
      <c r="I61" s="193">
        <f>+'Tablero de Control'!C$32</f>
        <v>304749279.12</v>
      </c>
      <c r="J61" s="193">
        <f>+'Tablero de Control'!D$32</f>
        <v>310063070.75999999</v>
      </c>
      <c r="K61" s="193">
        <f>+'Tablero de Control'!E$32</f>
        <v>313111354.31999999</v>
      </c>
      <c r="L61" s="193">
        <f>+'Tablero de Control'!F$32</f>
        <v>316489046.99999994</v>
      </c>
      <c r="M61" s="193">
        <f>+'Tablero de Control'!G$32</f>
        <v>318866646.84000003</v>
      </c>
      <c r="N61" s="193">
        <f>+'Tablero de Control'!H$32</f>
        <v>320080372.08000004</v>
      </c>
      <c r="O61" s="193">
        <f>+'Tablero de Control'!I$32</f>
        <v>321828145.32000005</v>
      </c>
      <c r="P61" s="193">
        <f>+'Tablero de Control'!J$32</f>
        <v>323889184.07999998</v>
      </c>
      <c r="Q61" s="193">
        <f>+'Tablero de Control'!K$32</f>
        <v>325889684.63999999</v>
      </c>
      <c r="R61" s="193">
        <f>+'Tablero de Control'!L$32</f>
        <v>327001087.31999993</v>
      </c>
    </row>
    <row r="62" spans="2:19" x14ac:dyDescent="0.25">
      <c r="B62" s="179" t="str">
        <f>+B51</f>
        <v>ACUEDUCTO</v>
      </c>
      <c r="C62" s="178" t="str">
        <f>+C51</f>
        <v>TRANSPORTE DE AGUA POTABLE</v>
      </c>
      <c r="D62" s="179" t="str">
        <f t="shared" si="37"/>
        <v xml:space="preserve">CONDUCCIÓN </v>
      </c>
      <c r="E62" s="179" t="str">
        <f t="shared" si="37"/>
        <v>ACTIVO 5</v>
      </c>
      <c r="F62" s="189">
        <f t="shared" si="37"/>
        <v>2</v>
      </c>
      <c r="G62" s="190">
        <f t="shared" si="37"/>
        <v>8000000000</v>
      </c>
      <c r="H62" s="182">
        <f>+VLOOKUP(E62,'Tablero de Control'!$E$18:$I$24,5,FALSE)</f>
        <v>40</v>
      </c>
      <c r="I62" s="193">
        <f>+'Tablero de Control'!C$32</f>
        <v>304749279.12</v>
      </c>
      <c r="J62" s="193">
        <f>+'Tablero de Control'!D$32</f>
        <v>310063070.75999999</v>
      </c>
      <c r="K62" s="193">
        <f>+'Tablero de Control'!E$32</f>
        <v>313111354.31999999</v>
      </c>
      <c r="L62" s="193">
        <f>+'Tablero de Control'!F$32</f>
        <v>316489046.99999994</v>
      </c>
      <c r="M62" s="193">
        <f>+'Tablero de Control'!G$32</f>
        <v>318866646.84000003</v>
      </c>
      <c r="N62" s="193">
        <f>+'Tablero de Control'!H$32</f>
        <v>320080372.08000004</v>
      </c>
      <c r="O62" s="193">
        <f>+'Tablero de Control'!I$32</f>
        <v>321828145.32000005</v>
      </c>
      <c r="P62" s="193">
        <f>+'Tablero de Control'!J$32</f>
        <v>323889184.07999998</v>
      </c>
      <c r="Q62" s="193">
        <f>+'Tablero de Control'!K$32</f>
        <v>325889684.63999999</v>
      </c>
      <c r="R62" s="193">
        <f>+'Tablero de Control'!L$32</f>
        <v>327001087.31999993</v>
      </c>
    </row>
    <row r="63" spans="2:19" ht="26.4" x14ac:dyDescent="0.25">
      <c r="B63" s="179" t="str">
        <f t="shared" ref="B63:C63" si="38">+B52</f>
        <v>ALCANTARILLADO</v>
      </c>
      <c r="C63" s="178" t="str">
        <f t="shared" si="38"/>
        <v>RECOLECCIÓN Y TRANSPORTE DE AGUAS RESIDUALES</v>
      </c>
      <c r="D63" s="179" t="str">
        <f t="shared" si="37"/>
        <v>ELEVACIÓN Y BOMBEO</v>
      </c>
      <c r="E63" s="179" t="str">
        <f t="shared" si="37"/>
        <v>ACTIVO 6</v>
      </c>
      <c r="F63" s="189">
        <f t="shared" si="37"/>
        <v>2</v>
      </c>
      <c r="G63" s="190">
        <f t="shared" si="37"/>
        <v>2500000000</v>
      </c>
      <c r="H63" s="182">
        <f>+VLOOKUP(E63,'Tablero de Control'!$E$18:$I$24,5,FALSE)</f>
        <v>35</v>
      </c>
      <c r="I63" s="193">
        <f>+'Tablero de Control'!C$32</f>
        <v>304749279.12</v>
      </c>
      <c r="J63" s="193">
        <f>+'Tablero de Control'!D$32</f>
        <v>310063070.75999999</v>
      </c>
      <c r="K63" s="193">
        <f>+'Tablero de Control'!E$32</f>
        <v>313111354.31999999</v>
      </c>
      <c r="L63" s="193">
        <f>+'Tablero de Control'!F$32</f>
        <v>316489046.99999994</v>
      </c>
      <c r="M63" s="193">
        <f>+'Tablero de Control'!G$32</f>
        <v>318866646.84000003</v>
      </c>
      <c r="N63" s="193">
        <f>+'Tablero de Control'!H$32</f>
        <v>320080372.08000004</v>
      </c>
      <c r="O63" s="193">
        <f>+'Tablero de Control'!I$32</f>
        <v>321828145.32000005</v>
      </c>
      <c r="P63" s="193">
        <f>+'Tablero de Control'!J$32</f>
        <v>323889184.07999998</v>
      </c>
      <c r="Q63" s="193">
        <f>+'Tablero de Control'!K$32</f>
        <v>325889684.63999999</v>
      </c>
      <c r="R63" s="193">
        <f>+'Tablero de Control'!L$32</f>
        <v>327001087.31999993</v>
      </c>
    </row>
    <row r="64" spans="2:19" ht="26.4" x14ac:dyDescent="0.25">
      <c r="B64" s="179" t="str">
        <f t="shared" ref="B64:C64" si="39">+B53</f>
        <v>ALCANTARILLADO</v>
      </c>
      <c r="C64" s="178" t="str">
        <f t="shared" si="39"/>
        <v>TRATAMIENTO Y/O DISPOSICIÓN FINAL DE AGUAS RESIDUALES</v>
      </c>
      <c r="D64" s="179" t="str">
        <f t="shared" si="37"/>
        <v>DISPOSICIÓN FINAL</v>
      </c>
      <c r="E64" s="179" t="str">
        <f t="shared" si="37"/>
        <v>ACTIVO 7</v>
      </c>
      <c r="F64" s="189">
        <f t="shared" si="37"/>
        <v>8</v>
      </c>
      <c r="G64" s="190">
        <f t="shared" si="37"/>
        <v>3000000000</v>
      </c>
      <c r="H64" s="182">
        <f>+VLOOKUP(E64,'Tablero de Control'!$E$18:$I$24,5,FALSE)</f>
        <v>30</v>
      </c>
      <c r="I64" s="193">
        <f>+'Tablero de Control'!C$32</f>
        <v>304749279.12</v>
      </c>
      <c r="J64" s="193">
        <f>+'Tablero de Control'!D$32</f>
        <v>310063070.75999999</v>
      </c>
      <c r="K64" s="193">
        <f>+'Tablero de Control'!E$32</f>
        <v>313111354.31999999</v>
      </c>
      <c r="L64" s="193">
        <f>+'Tablero de Control'!F$32</f>
        <v>316489046.99999994</v>
      </c>
      <c r="M64" s="193">
        <f>+'Tablero de Control'!G$32</f>
        <v>318866646.84000003</v>
      </c>
      <c r="N64" s="193">
        <f>+'Tablero de Control'!H$32</f>
        <v>320080372.08000004</v>
      </c>
      <c r="O64" s="193">
        <f>+'Tablero de Control'!I$32</f>
        <v>321828145.32000005</v>
      </c>
      <c r="P64" s="193">
        <f>+'Tablero de Control'!J$32</f>
        <v>323889184.07999998</v>
      </c>
      <c r="Q64" s="193">
        <f>+'Tablero de Control'!K$32</f>
        <v>325889684.63999999</v>
      </c>
      <c r="R64" s="193">
        <f>+'Tablero de Control'!L$32</f>
        <v>327001087.31999993</v>
      </c>
    </row>
    <row r="66" spans="2:11" ht="20.399999999999999" thickBot="1" x14ac:dyDescent="0.45">
      <c r="B66" s="173" t="s">
        <v>59</v>
      </c>
      <c r="C66" s="173"/>
      <c r="D66" s="173"/>
      <c r="E66" s="173"/>
      <c r="F66" s="173"/>
      <c r="G66" s="173"/>
    </row>
    <row r="67" spans="2:11" ht="13.8" thickTop="1" x14ac:dyDescent="0.25"/>
    <row r="68" spans="2:11" ht="26.4" x14ac:dyDescent="0.25">
      <c r="B68" s="174" t="s">
        <v>118</v>
      </c>
      <c r="C68" s="174" t="s">
        <v>119</v>
      </c>
      <c r="D68" s="174" t="str">
        <f>+D57</f>
        <v>Actividad del activo j</v>
      </c>
      <c r="E68" s="174" t="str">
        <f>+E57</f>
        <v>Identificación del activo</v>
      </c>
      <c r="F68" s="174" t="str">
        <f>+F57</f>
        <v>Año planeado</v>
      </c>
      <c r="G68" s="174" t="str">
        <f>+G57</f>
        <v>Valor POIR planeado del activo j</v>
      </c>
      <c r="H68" s="174" t="str">
        <f>+H57</f>
        <v>Vida Útil</v>
      </c>
      <c r="I68" s="174" t="s">
        <v>28</v>
      </c>
      <c r="J68" s="174" t="s">
        <v>29</v>
      </c>
      <c r="K68" s="174" t="s">
        <v>53</v>
      </c>
    </row>
    <row r="69" spans="2:11" x14ac:dyDescent="0.25">
      <c r="B69" s="176" t="str">
        <f t="shared" ref="B69:G69" si="40">+B58</f>
        <v>ACUEDUCTO</v>
      </c>
      <c r="C69" s="177" t="str">
        <f t="shared" si="40"/>
        <v>PRODUCCIÓN DE AGUA POTABLE</v>
      </c>
      <c r="D69" s="179" t="str">
        <f t="shared" si="40"/>
        <v>CAPTACIÓN</v>
      </c>
      <c r="E69" s="179" t="str">
        <f t="shared" si="40"/>
        <v>ACTIVO 1</v>
      </c>
      <c r="F69" s="189">
        <f t="shared" si="40"/>
        <v>3</v>
      </c>
      <c r="G69" s="190">
        <f t="shared" si="40"/>
        <v>1000000000</v>
      </c>
      <c r="H69" s="182">
        <f>+VLOOKUP(E69,'Tablero de Control'!$E$18:$I$24,5,FALSE)</f>
        <v>40</v>
      </c>
      <c r="I69" s="183">
        <f t="shared" ref="I69:I75" si="41">+NPV($C$8,J47:S47)</f>
        <v>447390850.86251837</v>
      </c>
      <c r="J69" s="183">
        <f t="shared" ref="J69:J75" si="42">+NPV($C$8,I58:R58)</f>
        <v>1765026821.5542903</v>
      </c>
      <c r="K69" s="194">
        <f>+I69/J69</f>
        <v>0.25347538371600725</v>
      </c>
    </row>
    <row r="70" spans="2:11" x14ac:dyDescent="0.25">
      <c r="B70" s="184"/>
      <c r="C70" s="185"/>
      <c r="D70" s="179" t="str">
        <f t="shared" ref="D70:G75" si="43">+D59</f>
        <v xml:space="preserve">ADUCCIÓN </v>
      </c>
      <c r="E70" s="179" t="str">
        <f t="shared" si="43"/>
        <v>ACTIVO 2</v>
      </c>
      <c r="F70" s="189">
        <f t="shared" si="43"/>
        <v>5</v>
      </c>
      <c r="G70" s="190">
        <f t="shared" si="43"/>
        <v>1796360616.7850602</v>
      </c>
      <c r="H70" s="182">
        <f>+VLOOKUP(E70,'Tablero de Control'!$E$18:$I$24,5,FALSE)</f>
        <v>40</v>
      </c>
      <c r="I70" s="183">
        <f t="shared" si="41"/>
        <v>513054257.36579323</v>
      </c>
      <c r="J70" s="183">
        <f t="shared" si="42"/>
        <v>1765026821.5542903</v>
      </c>
      <c r="K70" s="194">
        <f t="shared" ref="K70:K75" si="44">+I70/J70</f>
        <v>0.29067788154856222</v>
      </c>
    </row>
    <row r="71" spans="2:11" x14ac:dyDescent="0.25">
      <c r="B71" s="184"/>
      <c r="C71" s="185"/>
      <c r="D71" s="179" t="str">
        <f t="shared" si="43"/>
        <v>PRETRATAMIENTO</v>
      </c>
      <c r="E71" s="179" t="str">
        <f t="shared" si="43"/>
        <v>ACTIVO 3</v>
      </c>
      <c r="F71" s="189">
        <f t="shared" si="43"/>
        <v>4</v>
      </c>
      <c r="G71" s="190">
        <f t="shared" si="43"/>
        <v>2000000000</v>
      </c>
      <c r="H71" s="182">
        <f>+VLOOKUP(E71,'Tablero de Control'!$E$18:$I$24,5,FALSE)</f>
        <v>30</v>
      </c>
      <c r="I71" s="183">
        <f t="shared" si="41"/>
        <v>755951261.73648977</v>
      </c>
      <c r="J71" s="183">
        <f t="shared" si="42"/>
        <v>1765026821.5542903</v>
      </c>
      <c r="K71" s="194">
        <f t="shared" si="44"/>
        <v>0.42829448963885763</v>
      </c>
    </row>
    <row r="72" spans="2:11" x14ac:dyDescent="0.25">
      <c r="B72" s="186"/>
      <c r="C72" s="187"/>
      <c r="D72" s="179" t="str">
        <f t="shared" si="43"/>
        <v>TRATAMIENTO</v>
      </c>
      <c r="E72" s="179" t="str">
        <f t="shared" si="43"/>
        <v>ACTIVO 4*</v>
      </c>
      <c r="F72" s="189">
        <f t="shared" si="43"/>
        <v>3</v>
      </c>
      <c r="G72" s="190">
        <f t="shared" si="43"/>
        <v>1800000000</v>
      </c>
      <c r="H72" s="182">
        <f>+VLOOKUP(E72,'Tablero de Control'!$E$18:$I$24,5,FALSE)</f>
        <v>40</v>
      </c>
      <c r="I72" s="183">
        <f t="shared" si="41"/>
        <v>805303531.55253291</v>
      </c>
      <c r="J72" s="183">
        <f t="shared" si="42"/>
        <v>1765026821.5542903</v>
      </c>
      <c r="K72" s="194">
        <f t="shared" si="44"/>
        <v>0.45625569068881294</v>
      </c>
    </row>
    <row r="73" spans="2:11" x14ac:dyDescent="0.25">
      <c r="B73" s="179" t="str">
        <f>+B62</f>
        <v>ACUEDUCTO</v>
      </c>
      <c r="C73" s="178" t="str">
        <f>+C62</f>
        <v>TRANSPORTE DE AGUA POTABLE</v>
      </c>
      <c r="D73" s="179" t="str">
        <f t="shared" si="43"/>
        <v xml:space="preserve">CONDUCCIÓN </v>
      </c>
      <c r="E73" s="179" t="str">
        <f t="shared" si="43"/>
        <v>ACTIVO 5</v>
      </c>
      <c r="F73" s="189">
        <f t="shared" si="43"/>
        <v>2</v>
      </c>
      <c r="G73" s="190">
        <f t="shared" si="43"/>
        <v>8000000000</v>
      </c>
      <c r="H73" s="182">
        <f>+VLOOKUP(E73,'Tablero de Control'!$E$18:$I$24,5,FALSE)</f>
        <v>40</v>
      </c>
      <c r="I73" s="183">
        <f t="shared" si="41"/>
        <v>4335968135.8451157</v>
      </c>
      <c r="J73" s="183">
        <f t="shared" si="42"/>
        <v>1765026821.5542903</v>
      </c>
      <c r="K73" s="194">
        <f t="shared" si="44"/>
        <v>2.4566018390739486</v>
      </c>
    </row>
    <row r="74" spans="2:11" ht="26.4" x14ac:dyDescent="0.25">
      <c r="B74" s="179" t="str">
        <f t="shared" ref="B74:C74" si="45">+B63</f>
        <v>ALCANTARILLADO</v>
      </c>
      <c r="C74" s="178" t="str">
        <f t="shared" si="45"/>
        <v>RECOLECCIÓN Y TRANSPORTE DE AGUAS RESIDUALES</v>
      </c>
      <c r="D74" s="179" t="str">
        <f t="shared" si="43"/>
        <v>ELEVACIÓN Y BOMBEO</v>
      </c>
      <c r="E74" s="179" t="str">
        <f t="shared" si="43"/>
        <v>ACTIVO 6</v>
      </c>
      <c r="F74" s="189">
        <f t="shared" si="43"/>
        <v>2</v>
      </c>
      <c r="G74" s="190">
        <f t="shared" si="43"/>
        <v>2500000000</v>
      </c>
      <c r="H74" s="182">
        <f>+VLOOKUP(E74,'Tablero de Control'!$E$18:$I$24,5,FALSE)</f>
        <v>35</v>
      </c>
      <c r="I74" s="183">
        <f t="shared" si="41"/>
        <v>1377421005.7461033</v>
      </c>
      <c r="J74" s="183">
        <f t="shared" si="42"/>
        <v>1765026821.5542903</v>
      </c>
      <c r="K74" s="194">
        <f t="shared" si="44"/>
        <v>0.78039664266016107</v>
      </c>
    </row>
    <row r="75" spans="2:11" ht="26.4" x14ac:dyDescent="0.25">
      <c r="B75" s="179" t="str">
        <f t="shared" ref="B75:C75" si="46">+B64</f>
        <v>ALCANTARILLADO</v>
      </c>
      <c r="C75" s="178" t="str">
        <f t="shared" si="46"/>
        <v>TRATAMIENTO Y/O DISPOSICIÓN FINAL DE AGUAS RESIDUALES</v>
      </c>
      <c r="D75" s="179" t="str">
        <f t="shared" si="43"/>
        <v>DISPOSICIÓN FINAL</v>
      </c>
      <c r="E75" s="179" t="str">
        <f t="shared" si="43"/>
        <v>ACTIVO 7</v>
      </c>
      <c r="F75" s="189">
        <f t="shared" si="43"/>
        <v>8</v>
      </c>
      <c r="G75" s="190">
        <f t="shared" si="43"/>
        <v>3000000000</v>
      </c>
      <c r="H75" s="182">
        <f>+VLOOKUP(E75,'Tablero de Control'!$E$18:$I$24,5,FALSE)</f>
        <v>30</v>
      </c>
      <c r="I75" s="183">
        <f t="shared" si="41"/>
        <v>308393293.97621721</v>
      </c>
      <c r="J75" s="183">
        <f t="shared" si="42"/>
        <v>1765026821.5542903</v>
      </c>
      <c r="K75" s="194">
        <f t="shared" si="44"/>
        <v>0.17472442356691484</v>
      </c>
    </row>
    <row r="77" spans="2:11" x14ac:dyDescent="0.25">
      <c r="G77" s="195"/>
      <c r="J77" s="174" t="s">
        <v>106</v>
      </c>
      <c r="K77" s="196">
        <f>SUM(K69:K75)</f>
        <v>4.8404263508932646</v>
      </c>
    </row>
  </sheetData>
  <sheetProtection algorithmName="SHA-512" hashValue="zxLW4dWxNPiBxin5UoLgEJ5nBczui8jNztHustkkHvuqHHDCwaNe1SmBn0nrHMeJ2D/HelTS0oAnIz5IpTG9mQ==" saltValue="zN68Yd4ALMkXC46zBJM/lA==" spinCount="100000" sheet="1" objects="1" scenarios="1"/>
  <mergeCells count="13">
    <mergeCell ref="B69:B72"/>
    <mergeCell ref="C69:C72"/>
    <mergeCell ref="B36:B39"/>
    <mergeCell ref="C36:C39"/>
    <mergeCell ref="B47:B50"/>
    <mergeCell ref="C47:C50"/>
    <mergeCell ref="B58:B61"/>
    <mergeCell ref="C58:C61"/>
    <mergeCell ref="B2:M6"/>
    <mergeCell ref="B14:B17"/>
    <mergeCell ref="C14:C17"/>
    <mergeCell ref="B25:B28"/>
    <mergeCell ref="C25:C2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'Tablero de Control'!$C$10:$C$11</xm:f>
          </x14:formula1>
          <xm:sqref>C6 C8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77"/>
  <sheetViews>
    <sheetView showGridLines="0" zoomScaleNormal="100" workbookViewId="0">
      <selection activeCell="A8" sqref="A8"/>
    </sheetView>
  </sheetViews>
  <sheetFormatPr baseColWidth="10" defaultColWidth="11.44140625" defaultRowHeight="13.2" x14ac:dyDescent="0.25"/>
  <cols>
    <col min="1" max="1" width="11.44140625" style="170"/>
    <col min="2" max="2" width="24.5546875" style="170" customWidth="1"/>
    <col min="3" max="3" width="39.5546875" style="170" customWidth="1"/>
    <col min="4" max="4" width="21.5546875" style="170" bestFit="1" customWidth="1"/>
    <col min="5" max="5" width="11.5546875" style="170" customWidth="1"/>
    <col min="6" max="6" width="16.88671875" style="170" bestFit="1" customWidth="1"/>
    <col min="7" max="7" width="14.88671875" style="170" customWidth="1"/>
    <col min="8" max="8" width="18.88671875" style="170" bestFit="1" customWidth="1"/>
    <col min="9" max="9" width="20" style="170" bestFit="1" customWidth="1"/>
    <col min="10" max="18" width="16.5546875" style="170" customWidth="1"/>
    <col min="19" max="20" width="15" style="170" bestFit="1" customWidth="1"/>
    <col min="21" max="29" width="14.88671875" style="170" bestFit="1" customWidth="1"/>
    <col min="30" max="31" width="11.44140625" style="170"/>
    <col min="32" max="40" width="13.44140625" style="170" bestFit="1" customWidth="1"/>
    <col min="41" max="43" width="8.88671875" style="170" bestFit="1" customWidth="1"/>
    <col min="44" max="51" width="14.88671875" style="170" bestFit="1" customWidth="1"/>
    <col min="52" max="61" width="12.44140625" style="170" bestFit="1" customWidth="1"/>
    <col min="62" max="63" width="16.44140625" style="170" bestFit="1" customWidth="1"/>
    <col min="64" max="16384" width="11.44140625" style="170"/>
  </cols>
  <sheetData>
    <row r="2" spans="2:20" x14ac:dyDescent="0.25">
      <c r="B2" s="169" t="s">
        <v>62</v>
      </c>
      <c r="C2" s="169"/>
      <c r="D2" s="169"/>
      <c r="E2" s="169"/>
      <c r="F2" s="169"/>
      <c r="G2" s="169"/>
      <c r="H2" s="169"/>
      <c r="I2" s="169"/>
      <c r="J2" s="169"/>
      <c r="K2" s="169"/>
      <c r="L2" s="169"/>
      <c r="M2" s="169"/>
      <c r="N2" s="169"/>
    </row>
    <row r="3" spans="2:20" x14ac:dyDescent="0.25">
      <c r="B3" s="169"/>
      <c r="C3" s="169"/>
      <c r="D3" s="169"/>
      <c r="E3" s="169"/>
      <c r="F3" s="169"/>
      <c r="G3" s="169"/>
      <c r="H3" s="169"/>
      <c r="I3" s="169"/>
      <c r="J3" s="169"/>
      <c r="K3" s="169"/>
      <c r="L3" s="169"/>
      <c r="M3" s="169"/>
      <c r="N3" s="169"/>
    </row>
    <row r="4" spans="2:20" ht="12.75" customHeight="1" x14ac:dyDescent="0.25">
      <c r="B4" s="169"/>
      <c r="C4" s="169"/>
      <c r="D4" s="169"/>
      <c r="E4" s="169"/>
      <c r="F4" s="169"/>
      <c r="G4" s="169"/>
      <c r="H4" s="169"/>
      <c r="I4" s="169"/>
      <c r="J4" s="169"/>
      <c r="K4" s="169"/>
      <c r="L4" s="169"/>
      <c r="M4" s="169"/>
      <c r="N4" s="169"/>
    </row>
    <row r="5" spans="2:20" ht="12.75" customHeight="1" x14ac:dyDescent="0.25">
      <c r="B5" s="169"/>
      <c r="C5" s="169"/>
      <c r="D5" s="169"/>
      <c r="E5" s="169"/>
      <c r="F5" s="169"/>
      <c r="G5" s="169"/>
      <c r="H5" s="169"/>
      <c r="I5" s="169"/>
      <c r="J5" s="169"/>
      <c r="K5" s="169"/>
      <c r="L5" s="169"/>
      <c r="M5" s="169"/>
      <c r="N5" s="169"/>
    </row>
    <row r="6" spans="2:20" ht="12.75" customHeight="1" x14ac:dyDescent="0.25">
      <c r="B6" s="169"/>
      <c r="C6" s="169"/>
      <c r="D6" s="169"/>
      <c r="E6" s="169"/>
      <c r="F6" s="169"/>
      <c r="G6" s="169"/>
      <c r="H6" s="169"/>
      <c r="I6" s="169"/>
      <c r="J6" s="169"/>
      <c r="K6" s="169"/>
      <c r="L6" s="169"/>
      <c r="M6" s="169"/>
      <c r="N6" s="169"/>
    </row>
    <row r="7" spans="2:20" ht="12.75" customHeight="1" x14ac:dyDescent="0.25"/>
    <row r="8" spans="2:20" ht="14.4" x14ac:dyDescent="0.3">
      <c r="B8" s="171" t="s">
        <v>1</v>
      </c>
      <c r="C8" s="172">
        <v>0.12280000000000001</v>
      </c>
    </row>
    <row r="11" spans="2:20" ht="20.399999999999999" thickBot="1" x14ac:dyDescent="0.45">
      <c r="B11" s="173" t="s">
        <v>54</v>
      </c>
      <c r="C11" s="173"/>
      <c r="D11" s="173"/>
      <c r="E11" s="173"/>
      <c r="F11" s="173"/>
      <c r="G11" s="173"/>
      <c r="H11" s="173"/>
    </row>
    <row r="12" spans="2:20" ht="13.8" thickTop="1" x14ac:dyDescent="0.25"/>
    <row r="13" spans="2:20" ht="26.4" x14ac:dyDescent="0.25">
      <c r="B13" s="174" t="s">
        <v>118</v>
      </c>
      <c r="C13" s="174" t="s">
        <v>119</v>
      </c>
      <c r="D13" s="174" t="str">
        <f>+'Tablero de Control'!D17</f>
        <v>Actividad del activo j</v>
      </c>
      <c r="E13" s="174" t="str">
        <f>+'Tablero de Control'!E17</f>
        <v>Identificación del activo</v>
      </c>
      <c r="F13" s="174" t="str">
        <f>+'Tablero de Control'!F17</f>
        <v>Año planeado</v>
      </c>
      <c r="G13" s="174" t="s">
        <v>70</v>
      </c>
      <c r="H13" s="174" t="str">
        <f>+'Tablero de Control'!V17</f>
        <v>Valor POIR ejecutado del activo j</v>
      </c>
      <c r="I13" s="174" t="str">
        <f>+'Tablero de Control'!I17</f>
        <v>Vida Útil</v>
      </c>
      <c r="J13" s="175">
        <v>0</v>
      </c>
      <c r="K13" s="175">
        <v>1</v>
      </c>
      <c r="L13" s="175">
        <v>2</v>
      </c>
      <c r="M13" s="175">
        <v>3</v>
      </c>
      <c r="N13" s="175">
        <v>4</v>
      </c>
      <c r="O13" s="175">
        <v>5</v>
      </c>
      <c r="P13" s="175">
        <v>6</v>
      </c>
      <c r="Q13" s="175">
        <v>7</v>
      </c>
      <c r="R13" s="175">
        <v>8</v>
      </c>
      <c r="S13" s="175">
        <v>9</v>
      </c>
      <c r="T13" s="175">
        <v>10</v>
      </c>
    </row>
    <row r="14" spans="2:20" x14ac:dyDescent="0.25">
      <c r="B14" s="176" t="str">
        <f>+'Tablero de Control'!B18</f>
        <v>ACUEDUCTO</v>
      </c>
      <c r="C14" s="177" t="str">
        <f>+'Tablero de Control'!C18</f>
        <v>PRODUCCIÓN DE AGUA POTABLE</v>
      </c>
      <c r="D14" s="179" t="str">
        <f>+'Tablero de Control'!D18</f>
        <v>CAPTACIÓN</v>
      </c>
      <c r="E14" s="179" t="str">
        <f>+'Tablero de Control'!E18</f>
        <v>ACTIVO 1</v>
      </c>
      <c r="F14" s="198">
        <v>3</v>
      </c>
      <c r="G14" s="180">
        <f>+'Tablero de Control'!G18</f>
        <v>3</v>
      </c>
      <c r="H14" s="181">
        <f>+'Tablero de Control'!V18</f>
        <v>1000000000</v>
      </c>
      <c r="I14" s="182">
        <f>+VLOOKUP(E14,'Tablero de Control'!$E$18:$I$24,5,FALSE)</f>
        <v>40</v>
      </c>
      <c r="J14" s="183" t="str">
        <f t="shared" ref="J14:J20" si="0">+IF(J$13&lt;=$G14,"",$H14/$I14)</f>
        <v/>
      </c>
      <c r="K14" s="183">
        <f t="shared" ref="K14:T20" si="1">+IF(K$13&lt;=$G14,0,$H14/$I14)</f>
        <v>0</v>
      </c>
      <c r="L14" s="183">
        <f t="shared" si="1"/>
        <v>0</v>
      </c>
      <c r="M14" s="183">
        <f t="shared" si="1"/>
        <v>0</v>
      </c>
      <c r="N14" s="183">
        <f t="shared" si="1"/>
        <v>25000000</v>
      </c>
      <c r="O14" s="183">
        <f t="shared" si="1"/>
        <v>25000000</v>
      </c>
      <c r="P14" s="183">
        <f t="shared" si="1"/>
        <v>25000000</v>
      </c>
      <c r="Q14" s="183">
        <f t="shared" si="1"/>
        <v>25000000</v>
      </c>
      <c r="R14" s="183">
        <f t="shared" si="1"/>
        <v>25000000</v>
      </c>
      <c r="S14" s="183">
        <f t="shared" si="1"/>
        <v>25000000</v>
      </c>
      <c r="T14" s="183">
        <f t="shared" si="1"/>
        <v>25000000</v>
      </c>
    </row>
    <row r="15" spans="2:20" x14ac:dyDescent="0.25">
      <c r="B15" s="184"/>
      <c r="C15" s="185"/>
      <c r="D15" s="179" t="str">
        <f>+'Tablero de Control'!D19</f>
        <v xml:space="preserve">ADUCCIÓN </v>
      </c>
      <c r="E15" s="179" t="str">
        <f>+'Tablero de Control'!E19</f>
        <v>ACTIVO 2</v>
      </c>
      <c r="F15" s="180">
        <f>+'Tablero de Control'!F19</f>
        <v>5</v>
      </c>
      <c r="G15" s="180">
        <f>+'Tablero de Control'!G19</f>
        <v>5</v>
      </c>
      <c r="H15" s="181">
        <f>+'Tablero de Control'!V19</f>
        <v>1796360616.7850602</v>
      </c>
      <c r="I15" s="182">
        <f>+VLOOKUP(E15,'Tablero de Control'!$E$18:$I$24,5,FALSE)</f>
        <v>40</v>
      </c>
      <c r="J15" s="183" t="str">
        <f t="shared" si="0"/>
        <v/>
      </c>
      <c r="K15" s="183">
        <f t="shared" si="1"/>
        <v>0</v>
      </c>
      <c r="L15" s="183">
        <f t="shared" si="1"/>
        <v>0</v>
      </c>
      <c r="M15" s="183">
        <f t="shared" si="1"/>
        <v>0</v>
      </c>
      <c r="N15" s="183">
        <f t="shared" si="1"/>
        <v>0</v>
      </c>
      <c r="O15" s="183">
        <f t="shared" si="1"/>
        <v>0</v>
      </c>
      <c r="P15" s="183">
        <f t="shared" si="1"/>
        <v>44909015.419626504</v>
      </c>
      <c r="Q15" s="183">
        <f t="shared" si="1"/>
        <v>44909015.419626504</v>
      </c>
      <c r="R15" s="183">
        <f t="shared" si="1"/>
        <v>44909015.419626504</v>
      </c>
      <c r="S15" s="183">
        <f t="shared" si="1"/>
        <v>44909015.419626504</v>
      </c>
      <c r="T15" s="183">
        <f t="shared" si="1"/>
        <v>44909015.419626504</v>
      </c>
    </row>
    <row r="16" spans="2:20" x14ac:dyDescent="0.25">
      <c r="B16" s="184"/>
      <c r="C16" s="185"/>
      <c r="D16" s="179" t="str">
        <f>+'Tablero de Control'!D20</f>
        <v>PRETRATAMIENTO</v>
      </c>
      <c r="E16" s="179" t="str">
        <f>+'Tablero de Control'!E20</f>
        <v>ACTIVO 3</v>
      </c>
      <c r="F16" s="180">
        <f>+'Tablero de Control'!F20</f>
        <v>4</v>
      </c>
      <c r="G16" s="180">
        <f>+'Tablero de Control'!G20</f>
        <v>5</v>
      </c>
      <c r="H16" s="181">
        <f>+'Tablero de Control'!V20</f>
        <v>2000000000</v>
      </c>
      <c r="I16" s="182">
        <f>+VLOOKUP(E16,'Tablero de Control'!$E$18:$I$24,5,FALSE)</f>
        <v>30</v>
      </c>
      <c r="J16" s="183" t="str">
        <f t="shared" si="0"/>
        <v/>
      </c>
      <c r="K16" s="183">
        <f t="shared" si="1"/>
        <v>0</v>
      </c>
      <c r="L16" s="183">
        <f t="shared" si="1"/>
        <v>0</v>
      </c>
      <c r="M16" s="183">
        <f t="shared" si="1"/>
        <v>0</v>
      </c>
      <c r="N16" s="183">
        <f t="shared" si="1"/>
        <v>0</v>
      </c>
      <c r="O16" s="183">
        <f t="shared" si="1"/>
        <v>0</v>
      </c>
      <c r="P16" s="183">
        <f t="shared" si="1"/>
        <v>66666666.666666664</v>
      </c>
      <c r="Q16" s="183">
        <f t="shared" si="1"/>
        <v>66666666.666666664</v>
      </c>
      <c r="R16" s="183">
        <f t="shared" si="1"/>
        <v>66666666.666666664</v>
      </c>
      <c r="S16" s="183">
        <f t="shared" si="1"/>
        <v>66666666.666666664</v>
      </c>
      <c r="T16" s="183">
        <f t="shared" si="1"/>
        <v>66666666.666666664</v>
      </c>
    </row>
    <row r="17" spans="2:20" x14ac:dyDescent="0.25">
      <c r="B17" s="186"/>
      <c r="C17" s="187"/>
      <c r="D17" s="179" t="str">
        <f>+'Tablero de Control'!D21</f>
        <v>TRATAMIENTO</v>
      </c>
      <c r="E17" s="179" t="str">
        <f>+'Tablero de Control'!E21</f>
        <v>ACTIVO 4*</v>
      </c>
      <c r="F17" s="180">
        <f>+'Tablero de Control'!F21</f>
        <v>3</v>
      </c>
      <c r="G17" s="180">
        <f>+'Tablero de Control'!G21</f>
        <v>3</v>
      </c>
      <c r="H17" s="181">
        <f>+'Tablero de Control'!V21</f>
        <v>1800000000</v>
      </c>
      <c r="I17" s="182">
        <f>+VLOOKUP(E17,'Tablero de Control'!$E$18:$I$24,5,FALSE)</f>
        <v>40</v>
      </c>
      <c r="J17" s="183" t="str">
        <f t="shared" si="0"/>
        <v/>
      </c>
      <c r="K17" s="183">
        <f t="shared" si="1"/>
        <v>0</v>
      </c>
      <c r="L17" s="183">
        <f t="shared" si="1"/>
        <v>0</v>
      </c>
      <c r="M17" s="183">
        <f t="shared" si="1"/>
        <v>0</v>
      </c>
      <c r="N17" s="183">
        <f t="shared" si="1"/>
        <v>45000000</v>
      </c>
      <c r="O17" s="183">
        <f t="shared" si="1"/>
        <v>45000000</v>
      </c>
      <c r="P17" s="183">
        <f t="shared" si="1"/>
        <v>45000000</v>
      </c>
      <c r="Q17" s="183">
        <f t="shared" si="1"/>
        <v>45000000</v>
      </c>
      <c r="R17" s="183">
        <f t="shared" si="1"/>
        <v>45000000</v>
      </c>
      <c r="S17" s="183">
        <f t="shared" si="1"/>
        <v>45000000</v>
      </c>
      <c r="T17" s="183">
        <f t="shared" si="1"/>
        <v>45000000</v>
      </c>
    </row>
    <row r="18" spans="2:20" x14ac:dyDescent="0.25">
      <c r="B18" s="179" t="str">
        <f>+'Tablero de Control'!B22</f>
        <v>ACUEDUCTO</v>
      </c>
      <c r="C18" s="178" t="str">
        <f>+'Tablero de Control'!C22</f>
        <v>TRANSPORTE DE AGUA POTABLE</v>
      </c>
      <c r="D18" s="179" t="str">
        <f>+'Tablero de Control'!D22</f>
        <v xml:space="preserve">CONDUCCIÓN </v>
      </c>
      <c r="E18" s="179" t="str">
        <f>+'Tablero de Control'!E22</f>
        <v>ACTIVO 5</v>
      </c>
      <c r="F18" s="180">
        <f>+'Tablero de Control'!F22</f>
        <v>2</v>
      </c>
      <c r="G18" s="180">
        <f>+'Tablero de Control'!G22</f>
        <v>2</v>
      </c>
      <c r="H18" s="181">
        <f>+'Tablero de Control'!V22</f>
        <v>6000000000</v>
      </c>
      <c r="I18" s="182">
        <f>+VLOOKUP(E18,'Tablero de Control'!$E$18:$I$24,5,FALSE)</f>
        <v>40</v>
      </c>
      <c r="J18" s="183" t="str">
        <f t="shared" si="0"/>
        <v/>
      </c>
      <c r="K18" s="183">
        <f t="shared" si="1"/>
        <v>0</v>
      </c>
      <c r="L18" s="183">
        <f t="shared" si="1"/>
        <v>0</v>
      </c>
      <c r="M18" s="183">
        <f t="shared" si="1"/>
        <v>150000000</v>
      </c>
      <c r="N18" s="183">
        <f t="shared" si="1"/>
        <v>150000000</v>
      </c>
      <c r="O18" s="183">
        <f t="shared" si="1"/>
        <v>150000000</v>
      </c>
      <c r="P18" s="183">
        <f t="shared" si="1"/>
        <v>150000000</v>
      </c>
      <c r="Q18" s="183">
        <f t="shared" si="1"/>
        <v>150000000</v>
      </c>
      <c r="R18" s="183">
        <f t="shared" si="1"/>
        <v>150000000</v>
      </c>
      <c r="S18" s="183">
        <f t="shared" si="1"/>
        <v>150000000</v>
      </c>
      <c r="T18" s="183">
        <f t="shared" si="1"/>
        <v>150000000</v>
      </c>
    </row>
    <row r="19" spans="2:20" ht="26.4" x14ac:dyDescent="0.25">
      <c r="B19" s="179" t="str">
        <f>+'Tablero de Control'!B23</f>
        <v>ALCANTARILLADO</v>
      </c>
      <c r="C19" s="178" t="str">
        <f>+'Tablero de Control'!C23</f>
        <v>RECOLECCIÓN Y TRANSPORTE DE AGUAS RESIDUALES</v>
      </c>
      <c r="D19" s="179" t="str">
        <f>+'Tablero de Control'!D23</f>
        <v>ELEVACIÓN Y BOMBEO</v>
      </c>
      <c r="E19" s="179" t="str">
        <f>+'Tablero de Control'!E23</f>
        <v>ACTIVO 6</v>
      </c>
      <c r="F19" s="180">
        <f>+'Tablero de Control'!F23</f>
        <v>2</v>
      </c>
      <c r="G19" s="180">
        <f>+'Tablero de Control'!G23</f>
        <v>2</v>
      </c>
      <c r="H19" s="181">
        <f>+'Tablero de Control'!V23</f>
        <v>5000000000</v>
      </c>
      <c r="I19" s="182">
        <f>+VLOOKUP(E19,'Tablero de Control'!$E$18:$I$24,5,FALSE)</f>
        <v>35</v>
      </c>
      <c r="J19" s="183" t="str">
        <f t="shared" si="0"/>
        <v/>
      </c>
      <c r="K19" s="183">
        <f t="shared" si="1"/>
        <v>0</v>
      </c>
      <c r="L19" s="183">
        <f t="shared" si="1"/>
        <v>0</v>
      </c>
      <c r="M19" s="183">
        <f t="shared" si="1"/>
        <v>142857142.85714287</v>
      </c>
      <c r="N19" s="183">
        <f t="shared" si="1"/>
        <v>142857142.85714287</v>
      </c>
      <c r="O19" s="183">
        <f t="shared" si="1"/>
        <v>142857142.85714287</v>
      </c>
      <c r="P19" s="183">
        <f t="shared" si="1"/>
        <v>142857142.85714287</v>
      </c>
      <c r="Q19" s="183">
        <f t="shared" si="1"/>
        <v>142857142.85714287</v>
      </c>
      <c r="R19" s="183">
        <f t="shared" si="1"/>
        <v>142857142.85714287</v>
      </c>
      <c r="S19" s="183">
        <f t="shared" si="1"/>
        <v>142857142.85714287</v>
      </c>
      <c r="T19" s="183">
        <f t="shared" si="1"/>
        <v>142857142.85714287</v>
      </c>
    </row>
    <row r="20" spans="2:20" ht="26.4" x14ac:dyDescent="0.25">
      <c r="B20" s="179" t="str">
        <f>+'Tablero de Control'!B24</f>
        <v>ALCANTARILLADO</v>
      </c>
      <c r="C20" s="178" t="str">
        <f>+'Tablero de Control'!C24</f>
        <v>TRATAMIENTO Y/O DISPOSICIÓN FINAL DE AGUAS RESIDUALES</v>
      </c>
      <c r="D20" s="179" t="str">
        <f>+'Tablero de Control'!D24</f>
        <v>DISPOSICIÓN FINAL</v>
      </c>
      <c r="E20" s="179" t="str">
        <f>+'Tablero de Control'!E24</f>
        <v>ACTIVO 7</v>
      </c>
      <c r="F20" s="180">
        <v>8</v>
      </c>
      <c r="G20" s="180">
        <f>+'Tablero de Control'!G24</f>
        <v>5</v>
      </c>
      <c r="H20" s="181">
        <f>+'Tablero de Control'!V24</f>
        <v>3000000000</v>
      </c>
      <c r="I20" s="182">
        <f>+VLOOKUP(E20,'Tablero de Control'!$E$18:$I$24,5,FALSE)</f>
        <v>30</v>
      </c>
      <c r="J20" s="183" t="str">
        <f t="shared" si="0"/>
        <v/>
      </c>
      <c r="K20" s="183">
        <f t="shared" si="1"/>
        <v>0</v>
      </c>
      <c r="L20" s="183">
        <f t="shared" si="1"/>
        <v>0</v>
      </c>
      <c r="M20" s="183">
        <f t="shared" si="1"/>
        <v>0</v>
      </c>
      <c r="N20" s="183">
        <f t="shared" si="1"/>
        <v>0</v>
      </c>
      <c r="O20" s="183">
        <f t="shared" si="1"/>
        <v>0</v>
      </c>
      <c r="P20" s="183">
        <f t="shared" si="1"/>
        <v>100000000</v>
      </c>
      <c r="Q20" s="183">
        <f t="shared" si="1"/>
        <v>100000000</v>
      </c>
      <c r="R20" s="183">
        <f t="shared" si="1"/>
        <v>100000000</v>
      </c>
      <c r="S20" s="183">
        <f t="shared" si="1"/>
        <v>100000000</v>
      </c>
      <c r="T20" s="183">
        <f t="shared" si="1"/>
        <v>100000000</v>
      </c>
    </row>
    <row r="22" spans="2:20" ht="20.399999999999999" thickBot="1" x14ac:dyDescent="0.45">
      <c r="B22" s="173" t="s">
        <v>55</v>
      </c>
      <c r="C22" s="173"/>
      <c r="D22" s="173"/>
      <c r="E22" s="173"/>
      <c r="F22" s="173"/>
      <c r="G22" s="173"/>
      <c r="H22" s="173"/>
    </row>
    <row r="23" spans="2:20" ht="13.8" thickTop="1" x14ac:dyDescent="0.25"/>
    <row r="24" spans="2:20" ht="26.4" x14ac:dyDescent="0.25">
      <c r="B24" s="174" t="s">
        <v>118</v>
      </c>
      <c r="C24" s="174" t="s">
        <v>119</v>
      </c>
      <c r="D24" s="174" t="str">
        <f t="shared" ref="D24:F31" si="2">+D13</f>
        <v>Actividad del activo j</v>
      </c>
      <c r="E24" s="174" t="str">
        <f t="shared" si="2"/>
        <v>Identificación del activo</v>
      </c>
      <c r="F24" s="174" t="str">
        <f t="shared" si="2"/>
        <v>Año planeado</v>
      </c>
      <c r="G24" s="174" t="s">
        <v>70</v>
      </c>
      <c r="H24" s="174" t="str">
        <f>+H13</f>
        <v>Valor POIR ejecutado del activo j</v>
      </c>
      <c r="I24" s="174" t="str">
        <f>+I13</f>
        <v>Vida Útil</v>
      </c>
      <c r="J24" s="188">
        <v>0</v>
      </c>
      <c r="K24" s="188">
        <v>1</v>
      </c>
      <c r="L24" s="188">
        <v>2</v>
      </c>
      <c r="M24" s="188">
        <v>3</v>
      </c>
      <c r="N24" s="188">
        <v>4</v>
      </c>
      <c r="O24" s="188">
        <v>5</v>
      </c>
      <c r="P24" s="188">
        <v>6</v>
      </c>
      <c r="Q24" s="188">
        <v>7</v>
      </c>
      <c r="R24" s="188">
        <v>8</v>
      </c>
      <c r="S24" s="188">
        <v>9</v>
      </c>
      <c r="T24" s="188">
        <v>10</v>
      </c>
    </row>
    <row r="25" spans="2:20" x14ac:dyDescent="0.25">
      <c r="B25" s="176" t="str">
        <f>+B14</f>
        <v>ACUEDUCTO</v>
      </c>
      <c r="C25" s="177" t="str">
        <f>+C14</f>
        <v>PRODUCCIÓN DE AGUA POTABLE</v>
      </c>
      <c r="D25" s="179" t="str">
        <f t="shared" si="2"/>
        <v>CAPTACIÓN</v>
      </c>
      <c r="E25" s="179" t="str">
        <f t="shared" si="2"/>
        <v>ACTIVO 1</v>
      </c>
      <c r="F25" s="189">
        <f t="shared" si="2"/>
        <v>3</v>
      </c>
      <c r="G25" s="189">
        <f>+'Tablero de Control'!G18</f>
        <v>3</v>
      </c>
      <c r="H25" s="190">
        <f t="shared" ref="H25:H31" si="3">+H14</f>
        <v>1000000000</v>
      </c>
      <c r="I25" s="182">
        <f>+VLOOKUP(E25,'Tablero de Control'!$E$18:$I$24,5,FALSE)</f>
        <v>40</v>
      </c>
      <c r="J25" s="183" t="str">
        <f t="shared" ref="J25:J31" si="4">+IF($G25=J$24,$H25,IF($G25&gt;J$24,"",I25-J14))</f>
        <v/>
      </c>
      <c r="K25" s="183">
        <f t="shared" ref="K25:T25" si="5">+IF($G25=K$24,$H25,IF($G25&gt;K$24,0,J25-K14))</f>
        <v>0</v>
      </c>
      <c r="L25" s="183">
        <f t="shared" si="5"/>
        <v>0</v>
      </c>
      <c r="M25" s="183">
        <f t="shared" si="5"/>
        <v>1000000000</v>
      </c>
      <c r="N25" s="183">
        <f t="shared" si="5"/>
        <v>975000000</v>
      </c>
      <c r="O25" s="183">
        <f t="shared" si="5"/>
        <v>950000000</v>
      </c>
      <c r="P25" s="183">
        <f t="shared" si="5"/>
        <v>925000000</v>
      </c>
      <c r="Q25" s="183">
        <f t="shared" si="5"/>
        <v>900000000</v>
      </c>
      <c r="R25" s="183">
        <f t="shared" si="5"/>
        <v>875000000</v>
      </c>
      <c r="S25" s="183">
        <f t="shared" si="5"/>
        <v>850000000</v>
      </c>
      <c r="T25" s="183">
        <f t="shared" si="5"/>
        <v>825000000</v>
      </c>
    </row>
    <row r="26" spans="2:20" x14ac:dyDescent="0.25">
      <c r="B26" s="184"/>
      <c r="C26" s="185"/>
      <c r="D26" s="179" t="str">
        <f t="shared" si="2"/>
        <v xml:space="preserve">ADUCCIÓN </v>
      </c>
      <c r="E26" s="179" t="str">
        <f t="shared" si="2"/>
        <v>ACTIVO 2</v>
      </c>
      <c r="F26" s="189">
        <f t="shared" si="2"/>
        <v>5</v>
      </c>
      <c r="G26" s="189">
        <f>+'Tablero de Control'!G19</f>
        <v>5</v>
      </c>
      <c r="H26" s="190">
        <f t="shared" si="3"/>
        <v>1796360616.7850602</v>
      </c>
      <c r="I26" s="182">
        <f>+VLOOKUP(E26,'Tablero de Control'!$E$18:$I$24,5,FALSE)</f>
        <v>40</v>
      </c>
      <c r="J26" s="183" t="str">
        <f t="shared" si="4"/>
        <v/>
      </c>
      <c r="K26" s="183">
        <f t="shared" ref="K26:T26" si="6">+IF($G26=K$24,$H26,IF($G26&gt;K$24,0,J26-K15))</f>
        <v>0</v>
      </c>
      <c r="L26" s="183">
        <f t="shared" si="6"/>
        <v>0</v>
      </c>
      <c r="M26" s="183">
        <f t="shared" si="6"/>
        <v>0</v>
      </c>
      <c r="N26" s="183">
        <f t="shared" si="6"/>
        <v>0</v>
      </c>
      <c r="O26" s="183">
        <f t="shared" si="6"/>
        <v>1796360616.7850602</v>
      </c>
      <c r="P26" s="183">
        <f t="shared" si="6"/>
        <v>1751451601.3654337</v>
      </c>
      <c r="Q26" s="183">
        <f t="shared" si="6"/>
        <v>1706542585.9458072</v>
      </c>
      <c r="R26" s="183">
        <f t="shared" si="6"/>
        <v>1661633570.5261807</v>
      </c>
      <c r="S26" s="183">
        <f t="shared" si="6"/>
        <v>1616724555.1065543</v>
      </c>
      <c r="T26" s="183">
        <f t="shared" si="6"/>
        <v>1571815539.6869278</v>
      </c>
    </row>
    <row r="27" spans="2:20" x14ac:dyDescent="0.25">
      <c r="B27" s="184"/>
      <c r="C27" s="185"/>
      <c r="D27" s="179" t="str">
        <f t="shared" si="2"/>
        <v>PRETRATAMIENTO</v>
      </c>
      <c r="E27" s="179" t="str">
        <f t="shared" si="2"/>
        <v>ACTIVO 3</v>
      </c>
      <c r="F27" s="189">
        <f t="shared" si="2"/>
        <v>4</v>
      </c>
      <c r="G27" s="189">
        <f>+'Tablero de Control'!G20</f>
        <v>5</v>
      </c>
      <c r="H27" s="190">
        <f t="shared" si="3"/>
        <v>2000000000</v>
      </c>
      <c r="I27" s="182">
        <f>+VLOOKUP(E27,'Tablero de Control'!$E$18:$I$24,5,FALSE)</f>
        <v>30</v>
      </c>
      <c r="J27" s="183" t="str">
        <f t="shared" si="4"/>
        <v/>
      </c>
      <c r="K27" s="183">
        <f t="shared" ref="K27:T27" si="7">+IF($G27=K$24,$H27,IF($G27&gt;K$24,0,J27-K16))</f>
        <v>0</v>
      </c>
      <c r="L27" s="183">
        <f t="shared" si="7"/>
        <v>0</v>
      </c>
      <c r="M27" s="183">
        <f t="shared" si="7"/>
        <v>0</v>
      </c>
      <c r="N27" s="183">
        <f t="shared" si="7"/>
        <v>0</v>
      </c>
      <c r="O27" s="183">
        <f t="shared" si="7"/>
        <v>2000000000</v>
      </c>
      <c r="P27" s="183">
        <f t="shared" si="7"/>
        <v>1933333333.3333333</v>
      </c>
      <c r="Q27" s="183">
        <f t="shared" si="7"/>
        <v>1866666666.6666665</v>
      </c>
      <c r="R27" s="183">
        <f t="shared" si="7"/>
        <v>1799999999.9999998</v>
      </c>
      <c r="S27" s="183">
        <f t="shared" si="7"/>
        <v>1733333333.333333</v>
      </c>
      <c r="T27" s="183">
        <f t="shared" si="7"/>
        <v>1666666666.6666663</v>
      </c>
    </row>
    <row r="28" spans="2:20" x14ac:dyDescent="0.25">
      <c r="B28" s="186"/>
      <c r="C28" s="187"/>
      <c r="D28" s="179" t="str">
        <f t="shared" si="2"/>
        <v>TRATAMIENTO</v>
      </c>
      <c r="E28" s="179" t="str">
        <f t="shared" si="2"/>
        <v>ACTIVO 4*</v>
      </c>
      <c r="F28" s="189">
        <f t="shared" si="2"/>
        <v>3</v>
      </c>
      <c r="G28" s="189">
        <f>+'Tablero de Control'!G21</f>
        <v>3</v>
      </c>
      <c r="H28" s="190">
        <f t="shared" si="3"/>
        <v>1800000000</v>
      </c>
      <c r="I28" s="182">
        <f>+VLOOKUP(E28,'Tablero de Control'!$E$18:$I$24,5,FALSE)</f>
        <v>40</v>
      </c>
      <c r="J28" s="183" t="str">
        <f t="shared" si="4"/>
        <v/>
      </c>
      <c r="K28" s="183">
        <f t="shared" ref="K28:T28" si="8">+IF($G28=K$24,$H28,IF($G28&gt;K$24,0,J28-K17))</f>
        <v>0</v>
      </c>
      <c r="L28" s="183">
        <f t="shared" si="8"/>
        <v>0</v>
      </c>
      <c r="M28" s="183">
        <f t="shared" si="8"/>
        <v>1800000000</v>
      </c>
      <c r="N28" s="183">
        <f t="shared" si="8"/>
        <v>1755000000</v>
      </c>
      <c r="O28" s="183">
        <f t="shared" si="8"/>
        <v>1710000000</v>
      </c>
      <c r="P28" s="183">
        <f t="shared" si="8"/>
        <v>1665000000</v>
      </c>
      <c r="Q28" s="183">
        <f t="shared" si="8"/>
        <v>1620000000</v>
      </c>
      <c r="R28" s="183">
        <f t="shared" si="8"/>
        <v>1575000000</v>
      </c>
      <c r="S28" s="183">
        <f t="shared" si="8"/>
        <v>1530000000</v>
      </c>
      <c r="T28" s="183">
        <f t="shared" si="8"/>
        <v>1485000000</v>
      </c>
    </row>
    <row r="29" spans="2:20" x14ac:dyDescent="0.25">
      <c r="B29" s="179" t="str">
        <f>+B18</f>
        <v>ACUEDUCTO</v>
      </c>
      <c r="C29" s="178" t="str">
        <f>+C18</f>
        <v>TRANSPORTE DE AGUA POTABLE</v>
      </c>
      <c r="D29" s="179" t="str">
        <f t="shared" si="2"/>
        <v xml:space="preserve">CONDUCCIÓN </v>
      </c>
      <c r="E29" s="179" t="str">
        <f t="shared" si="2"/>
        <v>ACTIVO 5</v>
      </c>
      <c r="F29" s="189">
        <f t="shared" si="2"/>
        <v>2</v>
      </c>
      <c r="G29" s="189">
        <f>+'Tablero de Control'!G22</f>
        <v>2</v>
      </c>
      <c r="H29" s="190">
        <f t="shared" si="3"/>
        <v>6000000000</v>
      </c>
      <c r="I29" s="182">
        <f>+VLOOKUP(E29,'Tablero de Control'!$E$18:$I$24,5,FALSE)</f>
        <v>40</v>
      </c>
      <c r="J29" s="183" t="str">
        <f t="shared" si="4"/>
        <v/>
      </c>
      <c r="K29" s="183">
        <f t="shared" ref="K29:T29" si="9">+IF($G29=K$24,$H29,IF($G29&gt;K$24,0,J29-K18))</f>
        <v>0</v>
      </c>
      <c r="L29" s="183">
        <f t="shared" si="9"/>
        <v>6000000000</v>
      </c>
      <c r="M29" s="183">
        <f t="shared" si="9"/>
        <v>5850000000</v>
      </c>
      <c r="N29" s="183">
        <f t="shared" si="9"/>
        <v>5700000000</v>
      </c>
      <c r="O29" s="183">
        <f t="shared" si="9"/>
        <v>5550000000</v>
      </c>
      <c r="P29" s="183">
        <f t="shared" si="9"/>
        <v>5400000000</v>
      </c>
      <c r="Q29" s="183">
        <f t="shared" si="9"/>
        <v>5250000000</v>
      </c>
      <c r="R29" s="183">
        <f t="shared" si="9"/>
        <v>5100000000</v>
      </c>
      <c r="S29" s="183">
        <f t="shared" si="9"/>
        <v>4950000000</v>
      </c>
      <c r="T29" s="183">
        <f t="shared" si="9"/>
        <v>4800000000</v>
      </c>
    </row>
    <row r="30" spans="2:20" ht="26.4" x14ac:dyDescent="0.25">
      <c r="B30" s="179" t="str">
        <f t="shared" ref="B30:C31" si="10">+B19</f>
        <v>ALCANTARILLADO</v>
      </c>
      <c r="C30" s="178" t="str">
        <f t="shared" si="10"/>
        <v>RECOLECCIÓN Y TRANSPORTE DE AGUAS RESIDUALES</v>
      </c>
      <c r="D30" s="179" t="str">
        <f t="shared" si="2"/>
        <v>ELEVACIÓN Y BOMBEO</v>
      </c>
      <c r="E30" s="179" t="str">
        <f t="shared" si="2"/>
        <v>ACTIVO 6</v>
      </c>
      <c r="F30" s="189">
        <f t="shared" si="2"/>
        <v>2</v>
      </c>
      <c r="G30" s="189">
        <f>+'Tablero de Control'!G23</f>
        <v>2</v>
      </c>
      <c r="H30" s="190">
        <f t="shared" si="3"/>
        <v>5000000000</v>
      </c>
      <c r="I30" s="182">
        <f>+VLOOKUP(E30,'Tablero de Control'!$E$18:$I$24,5,FALSE)</f>
        <v>35</v>
      </c>
      <c r="J30" s="183" t="str">
        <f t="shared" si="4"/>
        <v/>
      </c>
      <c r="K30" s="183">
        <f t="shared" ref="K30:T30" si="11">+IF($G30=K$24,$H30,IF($G30&gt;K$24,0,J30-K19))</f>
        <v>0</v>
      </c>
      <c r="L30" s="183">
        <f t="shared" si="11"/>
        <v>5000000000</v>
      </c>
      <c r="M30" s="183">
        <f t="shared" si="11"/>
        <v>4857142857.1428576</v>
      </c>
      <c r="N30" s="183">
        <f t="shared" si="11"/>
        <v>4714285714.2857151</v>
      </c>
      <c r="O30" s="183">
        <f t="shared" si="11"/>
        <v>4571428571.4285727</v>
      </c>
      <c r="P30" s="183">
        <f t="shared" si="11"/>
        <v>4428571428.5714302</v>
      </c>
      <c r="Q30" s="183">
        <f t="shared" si="11"/>
        <v>4285714285.7142873</v>
      </c>
      <c r="R30" s="183">
        <f t="shared" si="11"/>
        <v>4142857142.8571444</v>
      </c>
      <c r="S30" s="183">
        <f t="shared" si="11"/>
        <v>4000000000.0000014</v>
      </c>
      <c r="T30" s="183">
        <f t="shared" si="11"/>
        <v>3857142857.1428585</v>
      </c>
    </row>
    <row r="31" spans="2:20" ht="26.4" x14ac:dyDescent="0.25">
      <c r="B31" s="179" t="str">
        <f t="shared" si="10"/>
        <v>ALCANTARILLADO</v>
      </c>
      <c r="C31" s="178" t="str">
        <f t="shared" si="10"/>
        <v>TRATAMIENTO Y/O DISPOSICIÓN FINAL DE AGUAS RESIDUALES</v>
      </c>
      <c r="D31" s="179" t="str">
        <f t="shared" si="2"/>
        <v>DISPOSICIÓN FINAL</v>
      </c>
      <c r="E31" s="179" t="str">
        <f t="shared" si="2"/>
        <v>ACTIVO 7</v>
      </c>
      <c r="F31" s="189">
        <f t="shared" si="2"/>
        <v>8</v>
      </c>
      <c r="G31" s="189">
        <f>+'Tablero de Control'!G24</f>
        <v>5</v>
      </c>
      <c r="H31" s="190">
        <f t="shared" si="3"/>
        <v>3000000000</v>
      </c>
      <c r="I31" s="182">
        <f>+VLOOKUP(E31,'Tablero de Control'!$E$18:$I$24,5,FALSE)</f>
        <v>30</v>
      </c>
      <c r="J31" s="183" t="str">
        <f t="shared" si="4"/>
        <v/>
      </c>
      <c r="K31" s="183">
        <f t="shared" ref="K31:T31" si="12">+IF($G31=K$24,$H31,IF($G31&gt;K$24,0,J31-K20))</f>
        <v>0</v>
      </c>
      <c r="L31" s="183">
        <f t="shared" si="12"/>
        <v>0</v>
      </c>
      <c r="M31" s="183">
        <f t="shared" si="12"/>
        <v>0</v>
      </c>
      <c r="N31" s="183">
        <f t="shared" si="12"/>
        <v>0</v>
      </c>
      <c r="O31" s="183">
        <f t="shared" si="12"/>
        <v>3000000000</v>
      </c>
      <c r="P31" s="183">
        <f t="shared" si="12"/>
        <v>2900000000</v>
      </c>
      <c r="Q31" s="183">
        <f t="shared" si="12"/>
        <v>2800000000</v>
      </c>
      <c r="R31" s="183">
        <f t="shared" si="12"/>
        <v>2700000000</v>
      </c>
      <c r="S31" s="183">
        <f t="shared" si="12"/>
        <v>2600000000</v>
      </c>
      <c r="T31" s="183">
        <f t="shared" si="12"/>
        <v>2500000000</v>
      </c>
    </row>
    <row r="33" spans="2:20" ht="20.399999999999999" thickBot="1" x14ac:dyDescent="0.45">
      <c r="B33" s="173" t="s">
        <v>105</v>
      </c>
      <c r="C33" s="173"/>
      <c r="D33" s="173"/>
      <c r="E33" s="173"/>
      <c r="F33" s="173"/>
      <c r="G33" s="173"/>
      <c r="H33" s="173"/>
    </row>
    <row r="34" spans="2:20" ht="13.8" thickTop="1" x14ac:dyDescent="0.25"/>
    <row r="35" spans="2:20" ht="26.4" x14ac:dyDescent="0.25">
      <c r="B35" s="174" t="s">
        <v>118</v>
      </c>
      <c r="C35" s="174" t="s">
        <v>119</v>
      </c>
      <c r="D35" s="174" t="str">
        <f t="shared" ref="D35:F42" si="13">+D24</f>
        <v>Actividad del activo j</v>
      </c>
      <c r="E35" s="174" t="str">
        <f t="shared" si="13"/>
        <v>Identificación del activo</v>
      </c>
      <c r="F35" s="174" t="str">
        <f t="shared" si="13"/>
        <v>Año planeado</v>
      </c>
      <c r="G35" s="174" t="s">
        <v>70</v>
      </c>
      <c r="H35" s="174" t="str">
        <f>+H24</f>
        <v>Valor POIR ejecutado del activo j</v>
      </c>
      <c r="I35" s="174" t="str">
        <f>+I24</f>
        <v>Vida Útil</v>
      </c>
      <c r="J35" s="174"/>
      <c r="K35" s="174" t="s">
        <v>40</v>
      </c>
      <c r="L35" s="174" t="s">
        <v>30</v>
      </c>
      <c r="M35" s="174" t="s">
        <v>31</v>
      </c>
      <c r="N35" s="174" t="s">
        <v>32</v>
      </c>
      <c r="O35" s="174" t="s">
        <v>33</v>
      </c>
      <c r="P35" s="174" t="s">
        <v>34</v>
      </c>
      <c r="Q35" s="174" t="s">
        <v>35</v>
      </c>
      <c r="R35" s="174" t="s">
        <v>36</v>
      </c>
      <c r="S35" s="174" t="s">
        <v>37</v>
      </c>
      <c r="T35" s="174" t="s">
        <v>38</v>
      </c>
    </row>
    <row r="36" spans="2:20" x14ac:dyDescent="0.25">
      <c r="B36" s="176" t="str">
        <f>+B25</f>
        <v>ACUEDUCTO</v>
      </c>
      <c r="C36" s="177" t="str">
        <f>+C25</f>
        <v>PRODUCCIÓN DE AGUA POTABLE</v>
      </c>
      <c r="D36" s="179" t="str">
        <f t="shared" si="13"/>
        <v>CAPTACIÓN</v>
      </c>
      <c r="E36" s="179" t="str">
        <f t="shared" si="13"/>
        <v>ACTIVO 1</v>
      </c>
      <c r="F36" s="189">
        <f t="shared" si="13"/>
        <v>3</v>
      </c>
      <c r="G36" s="189">
        <f>+'Tablero de Control'!G18</f>
        <v>3</v>
      </c>
      <c r="H36" s="190">
        <f t="shared" ref="H36:H42" si="14">+H25</f>
        <v>1000000000</v>
      </c>
      <c r="I36" s="182">
        <f>+VLOOKUP(E36,'Tablero de Control'!$E$18:$I$24,5,FALSE)</f>
        <v>40</v>
      </c>
      <c r="J36" s="183" t="str">
        <f t="shared" ref="J36:J42" si="15">+IFERROR(IF($G36&gt;J$24,"",I25*$C$8),"")</f>
        <v/>
      </c>
      <c r="K36" s="183">
        <f t="shared" ref="K36:T36" si="16">+IFERROR(IF($G36&gt;K$24,0,J25*$C$8),"")</f>
        <v>0</v>
      </c>
      <c r="L36" s="183">
        <f t="shared" si="16"/>
        <v>0</v>
      </c>
      <c r="M36" s="183">
        <f t="shared" si="16"/>
        <v>0</v>
      </c>
      <c r="N36" s="183">
        <f t="shared" si="16"/>
        <v>122800000</v>
      </c>
      <c r="O36" s="183">
        <f t="shared" si="16"/>
        <v>119730000</v>
      </c>
      <c r="P36" s="183">
        <f t="shared" si="16"/>
        <v>116660000</v>
      </c>
      <c r="Q36" s="183">
        <f t="shared" si="16"/>
        <v>113590000</v>
      </c>
      <c r="R36" s="183">
        <f t="shared" si="16"/>
        <v>110520000</v>
      </c>
      <c r="S36" s="183">
        <f t="shared" si="16"/>
        <v>107450000</v>
      </c>
      <c r="T36" s="183">
        <f t="shared" si="16"/>
        <v>104380000</v>
      </c>
    </row>
    <row r="37" spans="2:20" x14ac:dyDescent="0.25">
      <c r="B37" s="184"/>
      <c r="C37" s="185"/>
      <c r="D37" s="179" t="str">
        <f t="shared" si="13"/>
        <v xml:space="preserve">ADUCCIÓN </v>
      </c>
      <c r="E37" s="179" t="str">
        <f t="shared" si="13"/>
        <v>ACTIVO 2</v>
      </c>
      <c r="F37" s="189">
        <f t="shared" si="13"/>
        <v>5</v>
      </c>
      <c r="G37" s="189">
        <f>+'Tablero de Control'!G19</f>
        <v>5</v>
      </c>
      <c r="H37" s="190">
        <f t="shared" si="14"/>
        <v>1796360616.7850602</v>
      </c>
      <c r="I37" s="182">
        <f>+VLOOKUP(E37,'Tablero de Control'!$E$18:$I$24,5,FALSE)</f>
        <v>40</v>
      </c>
      <c r="J37" s="183" t="str">
        <f t="shared" si="15"/>
        <v/>
      </c>
      <c r="K37" s="183">
        <f t="shared" ref="K37:T37" si="17">+IFERROR(IF($G37&gt;K$24,0,J26*$C$8),"")</f>
        <v>0</v>
      </c>
      <c r="L37" s="183">
        <f t="shared" si="17"/>
        <v>0</v>
      </c>
      <c r="M37" s="183">
        <f t="shared" si="17"/>
        <v>0</v>
      </c>
      <c r="N37" s="183">
        <f t="shared" si="17"/>
        <v>0</v>
      </c>
      <c r="O37" s="183">
        <f t="shared" si="17"/>
        <v>0</v>
      </c>
      <c r="P37" s="183">
        <f t="shared" si="17"/>
        <v>220593083.74120539</v>
      </c>
      <c r="Q37" s="183">
        <f t="shared" si="17"/>
        <v>215078256.64767528</v>
      </c>
      <c r="R37" s="183">
        <f t="shared" si="17"/>
        <v>209563429.55414513</v>
      </c>
      <c r="S37" s="183">
        <f t="shared" si="17"/>
        <v>204048602.46061501</v>
      </c>
      <c r="T37" s="183">
        <f t="shared" si="17"/>
        <v>198533775.36708486</v>
      </c>
    </row>
    <row r="38" spans="2:20" x14ac:dyDescent="0.25">
      <c r="B38" s="184"/>
      <c r="C38" s="185"/>
      <c r="D38" s="179" t="str">
        <f t="shared" si="13"/>
        <v>PRETRATAMIENTO</v>
      </c>
      <c r="E38" s="179" t="str">
        <f t="shared" si="13"/>
        <v>ACTIVO 3</v>
      </c>
      <c r="F38" s="189">
        <f t="shared" si="13"/>
        <v>4</v>
      </c>
      <c r="G38" s="189">
        <f>+'Tablero de Control'!G20</f>
        <v>5</v>
      </c>
      <c r="H38" s="190">
        <f t="shared" si="14"/>
        <v>2000000000</v>
      </c>
      <c r="I38" s="182">
        <f>+VLOOKUP(E38,'Tablero de Control'!$E$18:$I$24,5,FALSE)</f>
        <v>30</v>
      </c>
      <c r="J38" s="183" t="str">
        <f t="shared" si="15"/>
        <v/>
      </c>
      <c r="K38" s="183">
        <f t="shared" ref="K38:T38" si="18">+IFERROR(IF($G38&gt;K$24,0,J27*$C$8),"")</f>
        <v>0</v>
      </c>
      <c r="L38" s="183">
        <f t="shared" si="18"/>
        <v>0</v>
      </c>
      <c r="M38" s="183">
        <f t="shared" si="18"/>
        <v>0</v>
      </c>
      <c r="N38" s="183">
        <f t="shared" si="18"/>
        <v>0</v>
      </c>
      <c r="O38" s="183">
        <f t="shared" si="18"/>
        <v>0</v>
      </c>
      <c r="P38" s="183">
        <f t="shared" si="18"/>
        <v>245600000</v>
      </c>
      <c r="Q38" s="183">
        <f t="shared" si="18"/>
        <v>237413333.33333334</v>
      </c>
      <c r="R38" s="183">
        <f t="shared" si="18"/>
        <v>229226666.66666666</v>
      </c>
      <c r="S38" s="183">
        <f t="shared" si="18"/>
        <v>221039999.99999997</v>
      </c>
      <c r="T38" s="183">
        <f t="shared" si="18"/>
        <v>212853333.33333331</v>
      </c>
    </row>
    <row r="39" spans="2:20" x14ac:dyDescent="0.25">
      <c r="B39" s="186"/>
      <c r="C39" s="187"/>
      <c r="D39" s="179" t="str">
        <f t="shared" si="13"/>
        <v>TRATAMIENTO</v>
      </c>
      <c r="E39" s="179" t="str">
        <f t="shared" si="13"/>
        <v>ACTIVO 4*</v>
      </c>
      <c r="F39" s="189">
        <f t="shared" si="13"/>
        <v>3</v>
      </c>
      <c r="G39" s="189">
        <f>+'Tablero de Control'!G21</f>
        <v>3</v>
      </c>
      <c r="H39" s="190">
        <f t="shared" si="14"/>
        <v>1800000000</v>
      </c>
      <c r="I39" s="182">
        <f>+VLOOKUP(E39,'Tablero de Control'!$E$18:$I$24,5,FALSE)</f>
        <v>40</v>
      </c>
      <c r="J39" s="183" t="str">
        <f t="shared" si="15"/>
        <v/>
      </c>
      <c r="K39" s="183">
        <f t="shared" ref="K39:T39" si="19">+IFERROR(IF($G39&gt;K$24,0,J28*$C$8),"")</f>
        <v>0</v>
      </c>
      <c r="L39" s="183">
        <f t="shared" si="19"/>
        <v>0</v>
      </c>
      <c r="M39" s="183">
        <f t="shared" si="19"/>
        <v>0</v>
      </c>
      <c r="N39" s="183">
        <f t="shared" si="19"/>
        <v>221040000</v>
      </c>
      <c r="O39" s="183">
        <f t="shared" si="19"/>
        <v>215514000</v>
      </c>
      <c r="P39" s="183">
        <f t="shared" si="19"/>
        <v>209988000</v>
      </c>
      <c r="Q39" s="183">
        <f t="shared" si="19"/>
        <v>204462000</v>
      </c>
      <c r="R39" s="183">
        <f t="shared" si="19"/>
        <v>198936000</v>
      </c>
      <c r="S39" s="183">
        <f t="shared" si="19"/>
        <v>193410000</v>
      </c>
      <c r="T39" s="183">
        <f t="shared" si="19"/>
        <v>187884000</v>
      </c>
    </row>
    <row r="40" spans="2:20" x14ac:dyDescent="0.25">
      <c r="B40" s="179" t="str">
        <f>+B29</f>
        <v>ACUEDUCTO</v>
      </c>
      <c r="C40" s="178" t="str">
        <f>+C29</f>
        <v>TRANSPORTE DE AGUA POTABLE</v>
      </c>
      <c r="D40" s="179" t="str">
        <f t="shared" si="13"/>
        <v xml:space="preserve">CONDUCCIÓN </v>
      </c>
      <c r="E40" s="179" t="str">
        <f t="shared" si="13"/>
        <v>ACTIVO 5</v>
      </c>
      <c r="F40" s="189">
        <f t="shared" si="13"/>
        <v>2</v>
      </c>
      <c r="G40" s="189">
        <f>+'Tablero de Control'!G22</f>
        <v>2</v>
      </c>
      <c r="H40" s="190">
        <f t="shared" si="14"/>
        <v>6000000000</v>
      </c>
      <c r="I40" s="182">
        <f>+VLOOKUP(E40,'Tablero de Control'!$E$18:$I$24,5,FALSE)</f>
        <v>40</v>
      </c>
      <c r="J40" s="183" t="str">
        <f t="shared" si="15"/>
        <v/>
      </c>
      <c r="K40" s="183">
        <f t="shared" ref="K40:T40" si="20">+IFERROR(IF($G40&gt;K$24,0,J29*$C$8),"")</f>
        <v>0</v>
      </c>
      <c r="L40" s="183">
        <f t="shared" si="20"/>
        <v>0</v>
      </c>
      <c r="M40" s="183">
        <f t="shared" si="20"/>
        <v>736800000</v>
      </c>
      <c r="N40" s="183">
        <f t="shared" si="20"/>
        <v>718380000</v>
      </c>
      <c r="O40" s="183">
        <f t="shared" si="20"/>
        <v>699960000</v>
      </c>
      <c r="P40" s="183">
        <f t="shared" si="20"/>
        <v>681540000</v>
      </c>
      <c r="Q40" s="183">
        <f t="shared" si="20"/>
        <v>663120000</v>
      </c>
      <c r="R40" s="183">
        <f t="shared" si="20"/>
        <v>644700000</v>
      </c>
      <c r="S40" s="183">
        <f t="shared" si="20"/>
        <v>626280000</v>
      </c>
      <c r="T40" s="183">
        <f t="shared" si="20"/>
        <v>607860000</v>
      </c>
    </row>
    <row r="41" spans="2:20" ht="26.4" x14ac:dyDescent="0.25">
      <c r="B41" s="179" t="str">
        <f t="shared" ref="B41:C41" si="21">+B30</f>
        <v>ALCANTARILLADO</v>
      </c>
      <c r="C41" s="178" t="str">
        <f t="shared" si="21"/>
        <v>RECOLECCIÓN Y TRANSPORTE DE AGUAS RESIDUALES</v>
      </c>
      <c r="D41" s="179" t="str">
        <f t="shared" si="13"/>
        <v>ELEVACIÓN Y BOMBEO</v>
      </c>
      <c r="E41" s="179" t="str">
        <f t="shared" si="13"/>
        <v>ACTIVO 6</v>
      </c>
      <c r="F41" s="189">
        <f t="shared" si="13"/>
        <v>2</v>
      </c>
      <c r="G41" s="189">
        <f>+'Tablero de Control'!G23</f>
        <v>2</v>
      </c>
      <c r="H41" s="190">
        <f t="shared" si="14"/>
        <v>5000000000</v>
      </c>
      <c r="I41" s="182">
        <f>+VLOOKUP(E41,'Tablero de Control'!$E$18:$I$24,5,FALSE)</f>
        <v>35</v>
      </c>
      <c r="J41" s="183" t="str">
        <f t="shared" si="15"/>
        <v/>
      </c>
      <c r="K41" s="183">
        <f t="shared" ref="K41:T41" si="22">+IFERROR(IF($G41&gt;K$24,0,J30*$C$8),"")</f>
        <v>0</v>
      </c>
      <c r="L41" s="183">
        <f t="shared" si="22"/>
        <v>0</v>
      </c>
      <c r="M41" s="183">
        <f t="shared" si="22"/>
        <v>614000000</v>
      </c>
      <c r="N41" s="183">
        <f t="shared" si="22"/>
        <v>596457142.85714293</v>
      </c>
      <c r="O41" s="183">
        <f t="shared" si="22"/>
        <v>578914285.71428585</v>
      </c>
      <c r="P41" s="183">
        <f t="shared" si="22"/>
        <v>561371428.57142878</v>
      </c>
      <c r="Q41" s="183">
        <f t="shared" si="22"/>
        <v>543828571.4285717</v>
      </c>
      <c r="R41" s="183">
        <f t="shared" si="22"/>
        <v>526285714.28571451</v>
      </c>
      <c r="S41" s="183">
        <f t="shared" si="22"/>
        <v>508742857.14285737</v>
      </c>
      <c r="T41" s="183">
        <f t="shared" si="22"/>
        <v>491200000.00000018</v>
      </c>
    </row>
    <row r="42" spans="2:20" ht="26.4" x14ac:dyDescent="0.25">
      <c r="B42" s="179" t="str">
        <f t="shared" ref="B42:C42" si="23">+B31</f>
        <v>ALCANTARILLADO</v>
      </c>
      <c r="C42" s="178" t="str">
        <f t="shared" si="23"/>
        <v>TRATAMIENTO Y/O DISPOSICIÓN FINAL DE AGUAS RESIDUALES</v>
      </c>
      <c r="D42" s="179" t="str">
        <f t="shared" si="13"/>
        <v>DISPOSICIÓN FINAL</v>
      </c>
      <c r="E42" s="179" t="str">
        <f t="shared" si="13"/>
        <v>ACTIVO 7</v>
      </c>
      <c r="F42" s="189">
        <f t="shared" si="13"/>
        <v>8</v>
      </c>
      <c r="G42" s="189">
        <f>+'Tablero de Control'!G24</f>
        <v>5</v>
      </c>
      <c r="H42" s="190">
        <f t="shared" si="14"/>
        <v>3000000000</v>
      </c>
      <c r="I42" s="182">
        <f>+VLOOKUP(E42,'Tablero de Control'!$E$18:$I$24,5,FALSE)</f>
        <v>30</v>
      </c>
      <c r="J42" s="183" t="str">
        <f t="shared" si="15"/>
        <v/>
      </c>
      <c r="K42" s="183">
        <f t="shared" ref="K42:T42" si="24">+IFERROR(IF($G42&gt;K$24,0,J31*$C$8),"")</f>
        <v>0</v>
      </c>
      <c r="L42" s="183">
        <f t="shared" si="24"/>
        <v>0</v>
      </c>
      <c r="M42" s="183">
        <f t="shared" si="24"/>
        <v>0</v>
      </c>
      <c r="N42" s="183">
        <f t="shared" si="24"/>
        <v>0</v>
      </c>
      <c r="O42" s="183">
        <f t="shared" si="24"/>
        <v>0</v>
      </c>
      <c r="P42" s="183">
        <f t="shared" si="24"/>
        <v>368400000</v>
      </c>
      <c r="Q42" s="183">
        <f t="shared" si="24"/>
        <v>356120000</v>
      </c>
      <c r="R42" s="183">
        <f t="shared" si="24"/>
        <v>343840000</v>
      </c>
      <c r="S42" s="183">
        <f t="shared" si="24"/>
        <v>331560000</v>
      </c>
      <c r="T42" s="183">
        <f t="shared" si="24"/>
        <v>319280000</v>
      </c>
    </row>
    <row r="44" spans="2:20" ht="20.399999999999999" thickBot="1" x14ac:dyDescent="0.45">
      <c r="B44" s="173" t="s">
        <v>57</v>
      </c>
      <c r="C44" s="173"/>
      <c r="D44" s="173"/>
      <c r="E44" s="173"/>
      <c r="F44" s="173"/>
      <c r="G44" s="173"/>
      <c r="H44" s="173"/>
    </row>
    <row r="45" spans="2:20" ht="13.8" thickTop="1" x14ac:dyDescent="0.25"/>
    <row r="46" spans="2:20" ht="26.4" x14ac:dyDescent="0.25">
      <c r="B46" s="174" t="s">
        <v>118</v>
      </c>
      <c r="C46" s="174" t="s">
        <v>119</v>
      </c>
      <c r="D46" s="174" t="str">
        <f t="shared" ref="D46:F53" si="25">+D35</f>
        <v>Actividad del activo j</v>
      </c>
      <c r="E46" s="174" t="str">
        <f t="shared" si="25"/>
        <v>Identificación del activo</v>
      </c>
      <c r="F46" s="174" t="str">
        <f t="shared" si="25"/>
        <v>Año planeado</v>
      </c>
      <c r="G46" s="174" t="s">
        <v>70</v>
      </c>
      <c r="H46" s="174" t="str">
        <f>+H35</f>
        <v>Valor POIR ejecutado del activo j</v>
      </c>
      <c r="I46" s="174" t="str">
        <f>+I35</f>
        <v>Vida Útil</v>
      </c>
      <c r="J46" s="191">
        <v>0</v>
      </c>
      <c r="K46" s="191">
        <v>1</v>
      </c>
      <c r="L46" s="191">
        <v>2</v>
      </c>
      <c r="M46" s="191">
        <v>3</v>
      </c>
      <c r="N46" s="191">
        <v>4</v>
      </c>
      <c r="O46" s="191">
        <v>5</v>
      </c>
      <c r="P46" s="191">
        <v>6</v>
      </c>
      <c r="Q46" s="191">
        <v>7</v>
      </c>
      <c r="R46" s="191">
        <v>8</v>
      </c>
      <c r="S46" s="191">
        <v>9</v>
      </c>
      <c r="T46" s="191">
        <v>10</v>
      </c>
    </row>
    <row r="47" spans="2:20" x14ac:dyDescent="0.25">
      <c r="B47" s="176" t="str">
        <f>+B36</f>
        <v>ACUEDUCTO</v>
      </c>
      <c r="C47" s="177" t="str">
        <f>+C36</f>
        <v>PRODUCCIÓN DE AGUA POTABLE</v>
      </c>
      <c r="D47" s="179" t="str">
        <f t="shared" si="25"/>
        <v>CAPTACIÓN</v>
      </c>
      <c r="E47" s="179" t="str">
        <f t="shared" si="25"/>
        <v>ACTIVO 1</v>
      </c>
      <c r="F47" s="189">
        <f t="shared" si="25"/>
        <v>3</v>
      </c>
      <c r="G47" s="189">
        <f>+'Tablero de Control'!G18</f>
        <v>3</v>
      </c>
      <c r="H47" s="190">
        <f t="shared" ref="H47:H53" si="26">+H36</f>
        <v>1000000000</v>
      </c>
      <c r="I47" s="182">
        <f>+VLOOKUP(E47,'Tablero de Control'!$E$18:$I$24,5,FALSE)</f>
        <v>40</v>
      </c>
      <c r="J47" s="183" t="str">
        <f t="shared" ref="J47:T47" si="27">+IFERROR(J36+J14,"")</f>
        <v/>
      </c>
      <c r="K47" s="183">
        <f t="shared" si="27"/>
        <v>0</v>
      </c>
      <c r="L47" s="183">
        <f t="shared" si="27"/>
        <v>0</v>
      </c>
      <c r="M47" s="183">
        <f t="shared" si="27"/>
        <v>0</v>
      </c>
      <c r="N47" s="183">
        <f t="shared" si="27"/>
        <v>147800000</v>
      </c>
      <c r="O47" s="183">
        <f t="shared" si="27"/>
        <v>144730000</v>
      </c>
      <c r="P47" s="183">
        <f t="shared" si="27"/>
        <v>141660000</v>
      </c>
      <c r="Q47" s="183">
        <f t="shared" si="27"/>
        <v>138590000</v>
      </c>
      <c r="R47" s="183">
        <f t="shared" si="27"/>
        <v>135520000</v>
      </c>
      <c r="S47" s="183">
        <f t="shared" si="27"/>
        <v>132450000</v>
      </c>
      <c r="T47" s="183">
        <f t="shared" si="27"/>
        <v>129380000</v>
      </c>
    </row>
    <row r="48" spans="2:20" x14ac:dyDescent="0.25">
      <c r="B48" s="184"/>
      <c r="C48" s="185"/>
      <c r="D48" s="179" t="str">
        <f t="shared" si="25"/>
        <v xml:space="preserve">ADUCCIÓN </v>
      </c>
      <c r="E48" s="179" t="str">
        <f t="shared" si="25"/>
        <v>ACTIVO 2</v>
      </c>
      <c r="F48" s="189">
        <f t="shared" si="25"/>
        <v>5</v>
      </c>
      <c r="G48" s="189">
        <f>+'Tablero de Control'!G19</f>
        <v>5</v>
      </c>
      <c r="H48" s="190">
        <f t="shared" si="26"/>
        <v>1796360616.7850602</v>
      </c>
      <c r="I48" s="182">
        <f>+VLOOKUP(E48,'Tablero de Control'!$E$18:$I$24,5,FALSE)</f>
        <v>40</v>
      </c>
      <c r="J48" s="183" t="str">
        <f t="shared" ref="J48:T48" si="28">+IFERROR(J37+J15,"")</f>
        <v/>
      </c>
      <c r="K48" s="183">
        <f t="shared" si="28"/>
        <v>0</v>
      </c>
      <c r="L48" s="183">
        <f t="shared" si="28"/>
        <v>0</v>
      </c>
      <c r="M48" s="183">
        <f t="shared" si="28"/>
        <v>0</v>
      </c>
      <c r="N48" s="183">
        <f t="shared" si="28"/>
        <v>0</v>
      </c>
      <c r="O48" s="183">
        <f t="shared" si="28"/>
        <v>0</v>
      </c>
      <c r="P48" s="183">
        <f t="shared" si="28"/>
        <v>265502099.1608319</v>
      </c>
      <c r="Q48" s="183">
        <f t="shared" si="28"/>
        <v>259987272.06730178</v>
      </c>
      <c r="R48" s="183">
        <f t="shared" si="28"/>
        <v>254472444.97377163</v>
      </c>
      <c r="S48" s="183">
        <f t="shared" si="28"/>
        <v>248957617.88024151</v>
      </c>
      <c r="T48" s="183">
        <f t="shared" si="28"/>
        <v>243442790.78671136</v>
      </c>
    </row>
    <row r="49" spans="2:20" x14ac:dyDescent="0.25">
      <c r="B49" s="184"/>
      <c r="C49" s="185"/>
      <c r="D49" s="179" t="str">
        <f t="shared" si="25"/>
        <v>PRETRATAMIENTO</v>
      </c>
      <c r="E49" s="179" t="str">
        <f t="shared" si="25"/>
        <v>ACTIVO 3</v>
      </c>
      <c r="F49" s="189">
        <f t="shared" si="25"/>
        <v>4</v>
      </c>
      <c r="G49" s="189">
        <f>+'Tablero de Control'!G20</f>
        <v>5</v>
      </c>
      <c r="H49" s="190">
        <f t="shared" si="26"/>
        <v>2000000000</v>
      </c>
      <c r="I49" s="182">
        <f>+VLOOKUP(E49,'Tablero de Control'!$E$18:$I$24,5,FALSE)</f>
        <v>30</v>
      </c>
      <c r="J49" s="183" t="str">
        <f t="shared" ref="J49:T49" si="29">+IFERROR(J38+J16,"")</f>
        <v/>
      </c>
      <c r="K49" s="183">
        <f t="shared" si="29"/>
        <v>0</v>
      </c>
      <c r="L49" s="183">
        <f t="shared" si="29"/>
        <v>0</v>
      </c>
      <c r="M49" s="183">
        <f t="shared" si="29"/>
        <v>0</v>
      </c>
      <c r="N49" s="183">
        <f t="shared" si="29"/>
        <v>0</v>
      </c>
      <c r="O49" s="183">
        <f t="shared" si="29"/>
        <v>0</v>
      </c>
      <c r="P49" s="183">
        <f t="shared" si="29"/>
        <v>312266666.66666669</v>
      </c>
      <c r="Q49" s="183">
        <f t="shared" si="29"/>
        <v>304080000</v>
      </c>
      <c r="R49" s="183">
        <f t="shared" si="29"/>
        <v>295893333.33333331</v>
      </c>
      <c r="S49" s="183">
        <f t="shared" si="29"/>
        <v>287706666.66666663</v>
      </c>
      <c r="T49" s="183">
        <f t="shared" si="29"/>
        <v>279520000</v>
      </c>
    </row>
    <row r="50" spans="2:20" x14ac:dyDescent="0.25">
      <c r="B50" s="186"/>
      <c r="C50" s="187"/>
      <c r="D50" s="179" t="str">
        <f t="shared" si="25"/>
        <v>TRATAMIENTO</v>
      </c>
      <c r="E50" s="179" t="str">
        <f t="shared" si="25"/>
        <v>ACTIVO 4*</v>
      </c>
      <c r="F50" s="189">
        <f t="shared" si="25"/>
        <v>3</v>
      </c>
      <c r="G50" s="189">
        <f>+'Tablero de Control'!G21</f>
        <v>3</v>
      </c>
      <c r="H50" s="190">
        <f t="shared" si="26"/>
        <v>1800000000</v>
      </c>
      <c r="I50" s="182">
        <f>+VLOOKUP(E50,'Tablero de Control'!$E$18:$I$24,5,FALSE)</f>
        <v>40</v>
      </c>
      <c r="J50" s="183" t="str">
        <f t="shared" ref="J50:T50" si="30">+IFERROR(J39+J17,"")</f>
        <v/>
      </c>
      <c r="K50" s="183">
        <f t="shared" si="30"/>
        <v>0</v>
      </c>
      <c r="L50" s="183">
        <f t="shared" si="30"/>
        <v>0</v>
      </c>
      <c r="M50" s="183">
        <f t="shared" si="30"/>
        <v>0</v>
      </c>
      <c r="N50" s="183">
        <f t="shared" si="30"/>
        <v>266040000</v>
      </c>
      <c r="O50" s="183">
        <f t="shared" si="30"/>
        <v>260514000</v>
      </c>
      <c r="P50" s="183">
        <f t="shared" si="30"/>
        <v>254988000</v>
      </c>
      <c r="Q50" s="183">
        <f t="shared" si="30"/>
        <v>249462000</v>
      </c>
      <c r="R50" s="183">
        <f t="shared" si="30"/>
        <v>243936000</v>
      </c>
      <c r="S50" s="183">
        <f t="shared" si="30"/>
        <v>238410000</v>
      </c>
      <c r="T50" s="183">
        <f t="shared" si="30"/>
        <v>232884000</v>
      </c>
    </row>
    <row r="51" spans="2:20" x14ac:dyDescent="0.25">
      <c r="B51" s="179" t="str">
        <f>+B40</f>
        <v>ACUEDUCTO</v>
      </c>
      <c r="C51" s="178" t="str">
        <f>+C40</f>
        <v>TRANSPORTE DE AGUA POTABLE</v>
      </c>
      <c r="D51" s="179" t="str">
        <f t="shared" si="25"/>
        <v xml:space="preserve">CONDUCCIÓN </v>
      </c>
      <c r="E51" s="179" t="str">
        <f t="shared" si="25"/>
        <v>ACTIVO 5</v>
      </c>
      <c r="F51" s="189">
        <f t="shared" si="25"/>
        <v>2</v>
      </c>
      <c r="G51" s="189">
        <f>+'Tablero de Control'!G22</f>
        <v>2</v>
      </c>
      <c r="H51" s="190">
        <f t="shared" si="26"/>
        <v>6000000000</v>
      </c>
      <c r="I51" s="182">
        <f>+VLOOKUP(E51,'Tablero de Control'!$E$18:$I$24,5,FALSE)</f>
        <v>40</v>
      </c>
      <c r="J51" s="183" t="str">
        <f t="shared" ref="J51:T51" si="31">+IFERROR(J40+J18,"")</f>
        <v/>
      </c>
      <c r="K51" s="183">
        <f t="shared" si="31"/>
        <v>0</v>
      </c>
      <c r="L51" s="183">
        <f t="shared" si="31"/>
        <v>0</v>
      </c>
      <c r="M51" s="183">
        <f t="shared" si="31"/>
        <v>886800000</v>
      </c>
      <c r="N51" s="183">
        <f t="shared" si="31"/>
        <v>868380000</v>
      </c>
      <c r="O51" s="183">
        <f t="shared" si="31"/>
        <v>849960000</v>
      </c>
      <c r="P51" s="183">
        <f t="shared" si="31"/>
        <v>831540000</v>
      </c>
      <c r="Q51" s="183">
        <f t="shared" si="31"/>
        <v>813120000</v>
      </c>
      <c r="R51" s="183">
        <f t="shared" si="31"/>
        <v>794700000</v>
      </c>
      <c r="S51" s="183">
        <f t="shared" si="31"/>
        <v>776280000</v>
      </c>
      <c r="T51" s="183">
        <f t="shared" si="31"/>
        <v>757860000</v>
      </c>
    </row>
    <row r="52" spans="2:20" ht="26.4" x14ac:dyDescent="0.25">
      <c r="B52" s="179" t="str">
        <f t="shared" ref="B52:C52" si="32">+B41</f>
        <v>ALCANTARILLADO</v>
      </c>
      <c r="C52" s="178" t="str">
        <f t="shared" si="32"/>
        <v>RECOLECCIÓN Y TRANSPORTE DE AGUAS RESIDUALES</v>
      </c>
      <c r="D52" s="179" t="str">
        <f t="shared" si="25"/>
        <v>ELEVACIÓN Y BOMBEO</v>
      </c>
      <c r="E52" s="179" t="str">
        <f t="shared" si="25"/>
        <v>ACTIVO 6</v>
      </c>
      <c r="F52" s="189">
        <f t="shared" si="25"/>
        <v>2</v>
      </c>
      <c r="G52" s="189">
        <f>+'Tablero de Control'!G23</f>
        <v>2</v>
      </c>
      <c r="H52" s="190">
        <f t="shared" si="26"/>
        <v>5000000000</v>
      </c>
      <c r="I52" s="182">
        <f>+VLOOKUP(E52,'Tablero de Control'!$E$18:$I$24,5,FALSE)</f>
        <v>35</v>
      </c>
      <c r="J52" s="183" t="str">
        <f t="shared" ref="J52:T52" si="33">+IFERROR(J41+J19,"")</f>
        <v/>
      </c>
      <c r="K52" s="183">
        <f t="shared" si="33"/>
        <v>0</v>
      </c>
      <c r="L52" s="183">
        <f t="shared" si="33"/>
        <v>0</v>
      </c>
      <c r="M52" s="183">
        <f t="shared" si="33"/>
        <v>756857142.85714293</v>
      </c>
      <c r="N52" s="183">
        <f t="shared" si="33"/>
        <v>739314285.71428585</v>
      </c>
      <c r="O52" s="183">
        <f t="shared" si="33"/>
        <v>721771428.57142878</v>
      </c>
      <c r="P52" s="183">
        <f t="shared" si="33"/>
        <v>704228571.4285717</v>
      </c>
      <c r="Q52" s="183">
        <f t="shared" si="33"/>
        <v>686685714.28571463</v>
      </c>
      <c r="R52" s="183">
        <f t="shared" si="33"/>
        <v>669142857.14285731</v>
      </c>
      <c r="S52" s="183">
        <f t="shared" si="33"/>
        <v>651600000.00000024</v>
      </c>
      <c r="T52" s="183">
        <f t="shared" si="33"/>
        <v>634057142.85714304</v>
      </c>
    </row>
    <row r="53" spans="2:20" ht="26.4" x14ac:dyDescent="0.25">
      <c r="B53" s="179" t="str">
        <f t="shared" ref="B53:C53" si="34">+B42</f>
        <v>ALCANTARILLADO</v>
      </c>
      <c r="C53" s="178" t="str">
        <f t="shared" si="34"/>
        <v>TRATAMIENTO Y/O DISPOSICIÓN FINAL DE AGUAS RESIDUALES</v>
      </c>
      <c r="D53" s="179" t="str">
        <f t="shared" si="25"/>
        <v>DISPOSICIÓN FINAL</v>
      </c>
      <c r="E53" s="179" t="str">
        <f t="shared" si="25"/>
        <v>ACTIVO 7</v>
      </c>
      <c r="F53" s="189">
        <f t="shared" si="25"/>
        <v>8</v>
      </c>
      <c r="G53" s="189">
        <f>+'Tablero de Control'!G24</f>
        <v>5</v>
      </c>
      <c r="H53" s="190">
        <f t="shared" si="26"/>
        <v>3000000000</v>
      </c>
      <c r="I53" s="182">
        <f>+VLOOKUP(E53,'Tablero de Control'!$E$18:$I$24,5,FALSE)</f>
        <v>30</v>
      </c>
      <c r="J53" s="183" t="str">
        <f t="shared" ref="J53:T53" si="35">+IFERROR(J42+J20,"")</f>
        <v/>
      </c>
      <c r="K53" s="183">
        <f t="shared" si="35"/>
        <v>0</v>
      </c>
      <c r="L53" s="183">
        <f t="shared" si="35"/>
        <v>0</v>
      </c>
      <c r="M53" s="183">
        <f t="shared" si="35"/>
        <v>0</v>
      </c>
      <c r="N53" s="183">
        <f t="shared" si="35"/>
        <v>0</v>
      </c>
      <c r="O53" s="183">
        <f t="shared" si="35"/>
        <v>0</v>
      </c>
      <c r="P53" s="183">
        <f t="shared" si="35"/>
        <v>468400000</v>
      </c>
      <c r="Q53" s="183">
        <f t="shared" si="35"/>
        <v>456120000</v>
      </c>
      <c r="R53" s="183">
        <f t="shared" si="35"/>
        <v>443840000</v>
      </c>
      <c r="S53" s="183">
        <f t="shared" si="35"/>
        <v>431560000</v>
      </c>
      <c r="T53" s="183">
        <f t="shared" si="35"/>
        <v>419280000</v>
      </c>
    </row>
    <row r="55" spans="2:20" ht="20.399999999999999" thickBot="1" x14ac:dyDescent="0.45">
      <c r="B55" s="173" t="s">
        <v>58</v>
      </c>
      <c r="C55" s="173"/>
      <c r="D55" s="173"/>
      <c r="E55" s="173"/>
      <c r="F55" s="173"/>
      <c r="G55" s="173"/>
      <c r="H55" s="173"/>
    </row>
    <row r="56" spans="2:20" ht="13.8" thickTop="1" x14ac:dyDescent="0.25"/>
    <row r="57" spans="2:20" ht="26.4" x14ac:dyDescent="0.25">
      <c r="B57" s="174" t="s">
        <v>118</v>
      </c>
      <c r="C57" s="174" t="s">
        <v>119</v>
      </c>
      <c r="D57" s="174" t="str">
        <f t="shared" ref="D57:F64" si="36">+D46</f>
        <v>Actividad del activo j</v>
      </c>
      <c r="E57" s="174" t="str">
        <f t="shared" si="36"/>
        <v>Identificación del activo</v>
      </c>
      <c r="F57" s="174" t="str">
        <f t="shared" si="36"/>
        <v>Año planeado</v>
      </c>
      <c r="G57" s="174" t="s">
        <v>70</v>
      </c>
      <c r="H57" s="174" t="str">
        <f>+H46</f>
        <v>Valor POIR ejecutado del activo j</v>
      </c>
      <c r="I57" s="174" t="str">
        <f>+I46</f>
        <v>Vida Útil</v>
      </c>
      <c r="J57" s="192">
        <v>1</v>
      </c>
      <c r="K57" s="192">
        <v>2</v>
      </c>
      <c r="L57" s="192">
        <v>3</v>
      </c>
      <c r="M57" s="192">
        <v>4</v>
      </c>
      <c r="N57" s="192">
        <v>5</v>
      </c>
      <c r="O57" s="192">
        <v>6</v>
      </c>
      <c r="P57" s="192">
        <v>7</v>
      </c>
      <c r="Q57" s="192">
        <v>8</v>
      </c>
      <c r="R57" s="192">
        <v>9</v>
      </c>
      <c r="S57" s="192">
        <v>10</v>
      </c>
    </row>
    <row r="58" spans="2:20" x14ac:dyDescent="0.25">
      <c r="B58" s="176" t="str">
        <f>+B47</f>
        <v>ACUEDUCTO</v>
      </c>
      <c r="C58" s="177" t="str">
        <f>+C47</f>
        <v>PRODUCCIÓN DE AGUA POTABLE</v>
      </c>
      <c r="D58" s="179" t="str">
        <f t="shared" si="36"/>
        <v>CAPTACIÓN</v>
      </c>
      <c r="E58" s="179" t="str">
        <f t="shared" si="36"/>
        <v>ACTIVO 1</v>
      </c>
      <c r="F58" s="189">
        <f t="shared" si="36"/>
        <v>3</v>
      </c>
      <c r="G58" s="189">
        <f>+'Tablero de Control'!G18</f>
        <v>3</v>
      </c>
      <c r="H58" s="190">
        <f t="shared" ref="H58:H64" si="37">+H47</f>
        <v>1000000000</v>
      </c>
      <c r="I58" s="182">
        <f>+VLOOKUP(E58,'Tablero de Control'!$E$18:$I$24,5,FALSE)</f>
        <v>40</v>
      </c>
      <c r="J58" s="193">
        <f>+'Tablero de Control'!C$32</f>
        <v>304749279.12</v>
      </c>
      <c r="K58" s="193">
        <f>+'Tablero de Control'!D$32</f>
        <v>310063070.75999999</v>
      </c>
      <c r="L58" s="193">
        <f>+'Tablero de Control'!E$32</f>
        <v>313111354.31999999</v>
      </c>
      <c r="M58" s="193">
        <f>+'Tablero de Control'!F$32</f>
        <v>316489046.99999994</v>
      </c>
      <c r="N58" s="193">
        <f>+'Tablero de Control'!G$32</f>
        <v>318866646.84000003</v>
      </c>
      <c r="O58" s="193">
        <f>+'Tablero de Control'!H$32</f>
        <v>320080372.08000004</v>
      </c>
      <c r="P58" s="193">
        <f>+'Tablero de Control'!I$32</f>
        <v>321828145.32000005</v>
      </c>
      <c r="Q58" s="193">
        <f>+'Tablero de Control'!J$32</f>
        <v>323889184.07999998</v>
      </c>
      <c r="R58" s="193">
        <f>+'Tablero de Control'!K$32</f>
        <v>325889684.63999999</v>
      </c>
      <c r="S58" s="193">
        <f>+'Tablero de Control'!L$32</f>
        <v>327001087.31999993</v>
      </c>
    </row>
    <row r="59" spans="2:20" x14ac:dyDescent="0.25">
      <c r="B59" s="184"/>
      <c r="C59" s="185"/>
      <c r="D59" s="179" t="str">
        <f t="shared" si="36"/>
        <v xml:space="preserve">ADUCCIÓN </v>
      </c>
      <c r="E59" s="179" t="str">
        <f t="shared" si="36"/>
        <v>ACTIVO 2</v>
      </c>
      <c r="F59" s="189">
        <f t="shared" si="36"/>
        <v>5</v>
      </c>
      <c r="G59" s="189">
        <f>+'Tablero de Control'!G19</f>
        <v>5</v>
      </c>
      <c r="H59" s="190">
        <f t="shared" si="37"/>
        <v>1796360616.7850602</v>
      </c>
      <c r="I59" s="182">
        <f>+VLOOKUP(E59,'Tablero de Control'!$E$18:$I$24,5,FALSE)</f>
        <v>40</v>
      </c>
      <c r="J59" s="193">
        <f>+'Tablero de Control'!C$32</f>
        <v>304749279.12</v>
      </c>
      <c r="K59" s="193">
        <f>+'Tablero de Control'!D$32</f>
        <v>310063070.75999999</v>
      </c>
      <c r="L59" s="193">
        <f>+'Tablero de Control'!E$32</f>
        <v>313111354.31999999</v>
      </c>
      <c r="M59" s="193">
        <f>+'Tablero de Control'!F$32</f>
        <v>316489046.99999994</v>
      </c>
      <c r="N59" s="193">
        <f>+'Tablero de Control'!G$32</f>
        <v>318866646.84000003</v>
      </c>
      <c r="O59" s="193">
        <f>+'Tablero de Control'!H$32</f>
        <v>320080372.08000004</v>
      </c>
      <c r="P59" s="193">
        <f>+'Tablero de Control'!I$32</f>
        <v>321828145.32000005</v>
      </c>
      <c r="Q59" s="193">
        <f>+'Tablero de Control'!J$32</f>
        <v>323889184.07999998</v>
      </c>
      <c r="R59" s="193">
        <f>+'Tablero de Control'!K$32</f>
        <v>325889684.63999999</v>
      </c>
      <c r="S59" s="193">
        <f>+'Tablero de Control'!L$32</f>
        <v>327001087.31999993</v>
      </c>
    </row>
    <row r="60" spans="2:20" x14ac:dyDescent="0.25">
      <c r="B60" s="184"/>
      <c r="C60" s="185"/>
      <c r="D60" s="179" t="str">
        <f t="shared" si="36"/>
        <v>PRETRATAMIENTO</v>
      </c>
      <c r="E60" s="179" t="str">
        <f t="shared" si="36"/>
        <v>ACTIVO 3</v>
      </c>
      <c r="F60" s="189">
        <f t="shared" si="36"/>
        <v>4</v>
      </c>
      <c r="G60" s="189">
        <f>+'Tablero de Control'!G20</f>
        <v>5</v>
      </c>
      <c r="H60" s="190">
        <f t="shared" si="37"/>
        <v>2000000000</v>
      </c>
      <c r="I60" s="182">
        <f>+VLOOKUP(E60,'Tablero de Control'!$E$18:$I$24,5,FALSE)</f>
        <v>30</v>
      </c>
      <c r="J60" s="193">
        <f>+'Tablero de Control'!C$32</f>
        <v>304749279.12</v>
      </c>
      <c r="K60" s="193">
        <f>+'Tablero de Control'!D$32</f>
        <v>310063070.75999999</v>
      </c>
      <c r="L60" s="193">
        <f>+'Tablero de Control'!E$32</f>
        <v>313111354.31999999</v>
      </c>
      <c r="M60" s="193">
        <f>+'Tablero de Control'!F$32</f>
        <v>316489046.99999994</v>
      </c>
      <c r="N60" s="193">
        <f>+'Tablero de Control'!G$32</f>
        <v>318866646.84000003</v>
      </c>
      <c r="O60" s="193">
        <f>+'Tablero de Control'!H$32</f>
        <v>320080372.08000004</v>
      </c>
      <c r="P60" s="193">
        <f>+'Tablero de Control'!I$32</f>
        <v>321828145.32000005</v>
      </c>
      <c r="Q60" s="193">
        <f>+'Tablero de Control'!J$32</f>
        <v>323889184.07999998</v>
      </c>
      <c r="R60" s="193">
        <f>+'Tablero de Control'!K$32</f>
        <v>325889684.63999999</v>
      </c>
      <c r="S60" s="193">
        <f>+'Tablero de Control'!L$32</f>
        <v>327001087.31999993</v>
      </c>
    </row>
    <row r="61" spans="2:20" x14ac:dyDescent="0.25">
      <c r="B61" s="186"/>
      <c r="C61" s="187"/>
      <c r="D61" s="179" t="str">
        <f t="shared" si="36"/>
        <v>TRATAMIENTO</v>
      </c>
      <c r="E61" s="179" t="str">
        <f t="shared" si="36"/>
        <v>ACTIVO 4*</v>
      </c>
      <c r="F61" s="189">
        <f t="shared" si="36"/>
        <v>3</v>
      </c>
      <c r="G61" s="189">
        <f>+'Tablero de Control'!G21</f>
        <v>3</v>
      </c>
      <c r="H61" s="190">
        <f t="shared" si="37"/>
        <v>1800000000</v>
      </c>
      <c r="I61" s="182">
        <f>+VLOOKUP(E61,'Tablero de Control'!$E$18:$I$24,5,FALSE)</f>
        <v>40</v>
      </c>
      <c r="J61" s="193">
        <f>+'Tablero de Control'!C$32</f>
        <v>304749279.12</v>
      </c>
      <c r="K61" s="193">
        <f>+'Tablero de Control'!D$32</f>
        <v>310063070.75999999</v>
      </c>
      <c r="L61" s="193">
        <f>+'Tablero de Control'!E$32</f>
        <v>313111354.31999999</v>
      </c>
      <c r="M61" s="193">
        <f>+'Tablero de Control'!F$32</f>
        <v>316489046.99999994</v>
      </c>
      <c r="N61" s="193">
        <f>+'Tablero de Control'!G$32</f>
        <v>318866646.84000003</v>
      </c>
      <c r="O61" s="193">
        <f>+'Tablero de Control'!H$32</f>
        <v>320080372.08000004</v>
      </c>
      <c r="P61" s="193">
        <f>+'Tablero de Control'!I$32</f>
        <v>321828145.32000005</v>
      </c>
      <c r="Q61" s="193">
        <f>+'Tablero de Control'!J$32</f>
        <v>323889184.07999998</v>
      </c>
      <c r="R61" s="193">
        <f>+'Tablero de Control'!K$32</f>
        <v>325889684.63999999</v>
      </c>
      <c r="S61" s="193">
        <f>+'Tablero de Control'!L$32</f>
        <v>327001087.31999993</v>
      </c>
    </row>
    <row r="62" spans="2:20" x14ac:dyDescent="0.25">
      <c r="B62" s="179" t="str">
        <f>+B51</f>
        <v>ACUEDUCTO</v>
      </c>
      <c r="C62" s="178" t="str">
        <f>+C51</f>
        <v>TRANSPORTE DE AGUA POTABLE</v>
      </c>
      <c r="D62" s="179" t="str">
        <f t="shared" si="36"/>
        <v xml:space="preserve">CONDUCCIÓN </v>
      </c>
      <c r="E62" s="179" t="str">
        <f t="shared" si="36"/>
        <v>ACTIVO 5</v>
      </c>
      <c r="F62" s="189">
        <f t="shared" si="36"/>
        <v>2</v>
      </c>
      <c r="G62" s="189">
        <f>+'Tablero de Control'!G22</f>
        <v>2</v>
      </c>
      <c r="H62" s="190">
        <f t="shared" si="37"/>
        <v>6000000000</v>
      </c>
      <c r="I62" s="182">
        <f>+VLOOKUP(E62,'Tablero de Control'!$E$18:$I$24,5,FALSE)</f>
        <v>40</v>
      </c>
      <c r="J62" s="193">
        <f>+'Tablero de Control'!C$32</f>
        <v>304749279.12</v>
      </c>
      <c r="K62" s="193">
        <f>+'Tablero de Control'!D$32</f>
        <v>310063070.75999999</v>
      </c>
      <c r="L62" s="193">
        <f>+'Tablero de Control'!E$32</f>
        <v>313111354.31999999</v>
      </c>
      <c r="M62" s="193">
        <f>+'Tablero de Control'!F$32</f>
        <v>316489046.99999994</v>
      </c>
      <c r="N62" s="193">
        <f>+'Tablero de Control'!G$32</f>
        <v>318866646.84000003</v>
      </c>
      <c r="O62" s="193">
        <f>+'Tablero de Control'!H$32</f>
        <v>320080372.08000004</v>
      </c>
      <c r="P62" s="193">
        <f>+'Tablero de Control'!I$32</f>
        <v>321828145.32000005</v>
      </c>
      <c r="Q62" s="193">
        <f>+'Tablero de Control'!J$32</f>
        <v>323889184.07999998</v>
      </c>
      <c r="R62" s="193">
        <f>+'Tablero de Control'!K$32</f>
        <v>325889684.63999999</v>
      </c>
      <c r="S62" s="193">
        <f>+'Tablero de Control'!L$32</f>
        <v>327001087.31999993</v>
      </c>
    </row>
    <row r="63" spans="2:20" ht="26.4" x14ac:dyDescent="0.25">
      <c r="B63" s="179" t="str">
        <f t="shared" ref="B63:C63" si="38">+B52</f>
        <v>ALCANTARILLADO</v>
      </c>
      <c r="C63" s="178" t="str">
        <f t="shared" si="38"/>
        <v>RECOLECCIÓN Y TRANSPORTE DE AGUAS RESIDUALES</v>
      </c>
      <c r="D63" s="179" t="str">
        <f t="shared" si="36"/>
        <v>ELEVACIÓN Y BOMBEO</v>
      </c>
      <c r="E63" s="179" t="str">
        <f t="shared" si="36"/>
        <v>ACTIVO 6</v>
      </c>
      <c r="F63" s="189">
        <f t="shared" si="36"/>
        <v>2</v>
      </c>
      <c r="G63" s="189">
        <f>+'Tablero de Control'!G23</f>
        <v>2</v>
      </c>
      <c r="H63" s="190">
        <f t="shared" si="37"/>
        <v>5000000000</v>
      </c>
      <c r="I63" s="182">
        <f>+VLOOKUP(E63,'Tablero de Control'!$E$18:$I$24,5,FALSE)</f>
        <v>35</v>
      </c>
      <c r="J63" s="193">
        <f>+'Tablero de Control'!C$32</f>
        <v>304749279.12</v>
      </c>
      <c r="K63" s="193">
        <f>+'Tablero de Control'!D$32</f>
        <v>310063070.75999999</v>
      </c>
      <c r="L63" s="193">
        <f>+'Tablero de Control'!E$32</f>
        <v>313111354.31999999</v>
      </c>
      <c r="M63" s="193">
        <f>+'Tablero de Control'!F$32</f>
        <v>316489046.99999994</v>
      </c>
      <c r="N63" s="193">
        <f>+'Tablero de Control'!G$32</f>
        <v>318866646.84000003</v>
      </c>
      <c r="O63" s="193">
        <f>+'Tablero de Control'!H$32</f>
        <v>320080372.08000004</v>
      </c>
      <c r="P63" s="193">
        <f>+'Tablero de Control'!I$32</f>
        <v>321828145.32000005</v>
      </c>
      <c r="Q63" s="193">
        <f>+'Tablero de Control'!J$32</f>
        <v>323889184.07999998</v>
      </c>
      <c r="R63" s="193">
        <f>+'Tablero de Control'!K$32</f>
        <v>325889684.63999999</v>
      </c>
      <c r="S63" s="193">
        <f>+'Tablero de Control'!L$32</f>
        <v>327001087.31999993</v>
      </c>
    </row>
    <row r="64" spans="2:20" ht="26.4" x14ac:dyDescent="0.25">
      <c r="B64" s="179" t="str">
        <f t="shared" ref="B64:C64" si="39">+B53</f>
        <v>ALCANTARILLADO</v>
      </c>
      <c r="C64" s="178" t="str">
        <f t="shared" si="39"/>
        <v>TRATAMIENTO Y/O DISPOSICIÓN FINAL DE AGUAS RESIDUALES</v>
      </c>
      <c r="D64" s="179" t="str">
        <f t="shared" si="36"/>
        <v>DISPOSICIÓN FINAL</v>
      </c>
      <c r="E64" s="179" t="str">
        <f t="shared" si="36"/>
        <v>ACTIVO 7</v>
      </c>
      <c r="F64" s="189">
        <f t="shared" si="36"/>
        <v>8</v>
      </c>
      <c r="G64" s="189">
        <f>+'Tablero de Control'!G24</f>
        <v>5</v>
      </c>
      <c r="H64" s="190">
        <f t="shared" si="37"/>
        <v>3000000000</v>
      </c>
      <c r="I64" s="182">
        <f>+VLOOKUP(E64,'Tablero de Control'!$E$18:$I$24,5,FALSE)</f>
        <v>30</v>
      </c>
      <c r="J64" s="193">
        <f>+'Tablero de Control'!C$32</f>
        <v>304749279.12</v>
      </c>
      <c r="K64" s="193">
        <f>+'Tablero de Control'!D$32</f>
        <v>310063070.75999999</v>
      </c>
      <c r="L64" s="193">
        <f>+'Tablero de Control'!E$32</f>
        <v>313111354.31999999</v>
      </c>
      <c r="M64" s="193">
        <f>+'Tablero de Control'!F$32</f>
        <v>316489046.99999994</v>
      </c>
      <c r="N64" s="193">
        <f>+'Tablero de Control'!G$32</f>
        <v>318866646.84000003</v>
      </c>
      <c r="O64" s="193">
        <f>+'Tablero de Control'!H$32</f>
        <v>320080372.08000004</v>
      </c>
      <c r="P64" s="193">
        <f>+'Tablero de Control'!I$32</f>
        <v>321828145.32000005</v>
      </c>
      <c r="Q64" s="193">
        <f>+'Tablero de Control'!J$32</f>
        <v>323889184.07999998</v>
      </c>
      <c r="R64" s="193">
        <f>+'Tablero de Control'!K$32</f>
        <v>325889684.63999999</v>
      </c>
      <c r="S64" s="193">
        <f>+'Tablero de Control'!L$32</f>
        <v>327001087.31999993</v>
      </c>
    </row>
    <row r="66" spans="2:12" ht="20.399999999999999" thickBot="1" x14ac:dyDescent="0.45">
      <c r="B66" s="173" t="s">
        <v>59</v>
      </c>
      <c r="C66" s="173"/>
      <c r="D66" s="173"/>
      <c r="E66" s="173"/>
      <c r="F66" s="173"/>
      <c r="G66" s="173"/>
      <c r="H66" s="173"/>
    </row>
    <row r="67" spans="2:12" ht="13.8" thickTop="1" x14ac:dyDescent="0.25"/>
    <row r="68" spans="2:12" ht="26.4" x14ac:dyDescent="0.25">
      <c r="B68" s="174" t="s">
        <v>118</v>
      </c>
      <c r="C68" s="174" t="s">
        <v>119</v>
      </c>
      <c r="D68" s="174" t="str">
        <f t="shared" ref="D68:F75" si="40">+D57</f>
        <v>Actividad del activo j</v>
      </c>
      <c r="E68" s="174" t="str">
        <f t="shared" si="40"/>
        <v>Identificación del activo</v>
      </c>
      <c r="F68" s="174" t="str">
        <f t="shared" si="40"/>
        <v>Año planeado</v>
      </c>
      <c r="G68" s="174" t="s">
        <v>70</v>
      </c>
      <c r="H68" s="174" t="str">
        <f>+H57</f>
        <v>Valor POIR ejecutado del activo j</v>
      </c>
      <c r="I68" s="174" t="str">
        <f>+I57</f>
        <v>Vida Útil</v>
      </c>
      <c r="J68" s="174" t="s">
        <v>28</v>
      </c>
      <c r="K68" s="174" t="s">
        <v>29</v>
      </c>
      <c r="L68" s="174" t="s">
        <v>53</v>
      </c>
    </row>
    <row r="69" spans="2:12" x14ac:dyDescent="0.25">
      <c r="B69" s="176" t="str">
        <f>+B58</f>
        <v>ACUEDUCTO</v>
      </c>
      <c r="C69" s="177" t="str">
        <f>+C58</f>
        <v>PRODUCCIÓN DE AGUA POTABLE</v>
      </c>
      <c r="D69" s="179" t="str">
        <f t="shared" si="40"/>
        <v>CAPTACIÓN</v>
      </c>
      <c r="E69" s="179" t="str">
        <f t="shared" si="40"/>
        <v>ACTIVO 1</v>
      </c>
      <c r="F69" s="189">
        <f t="shared" si="40"/>
        <v>3</v>
      </c>
      <c r="G69" s="189">
        <f>+'Tablero de Control'!G18</f>
        <v>3</v>
      </c>
      <c r="H69" s="190">
        <f t="shared" ref="H69:H75" si="41">+H58</f>
        <v>1000000000</v>
      </c>
      <c r="I69" s="182">
        <f>+VLOOKUP(E69,'Tablero de Control'!$E$18:$I$24,5,FALSE)</f>
        <v>40</v>
      </c>
      <c r="J69" s="183">
        <f t="shared" ref="J69:J75" si="42">+NPV($C$8,K47:T47)</f>
        <v>447390850.86251837</v>
      </c>
      <c r="K69" s="183">
        <f t="shared" ref="K69:K75" si="43">+NPV($C$8,J58:S58)</f>
        <v>1765026821.5542903</v>
      </c>
      <c r="L69" s="194">
        <f t="shared" ref="L69:L75" si="44">+J69/K69</f>
        <v>0.25347538371600725</v>
      </c>
    </row>
    <row r="70" spans="2:12" x14ac:dyDescent="0.25">
      <c r="B70" s="184"/>
      <c r="C70" s="185"/>
      <c r="D70" s="179" t="str">
        <f t="shared" si="40"/>
        <v xml:space="preserve">ADUCCIÓN </v>
      </c>
      <c r="E70" s="179" t="str">
        <f t="shared" si="40"/>
        <v>ACTIVO 2</v>
      </c>
      <c r="F70" s="189">
        <f t="shared" si="40"/>
        <v>5</v>
      </c>
      <c r="G70" s="189">
        <f>+'Tablero de Control'!G19</f>
        <v>5</v>
      </c>
      <c r="H70" s="190">
        <f t="shared" si="41"/>
        <v>1796360616.7850602</v>
      </c>
      <c r="I70" s="182">
        <f>+VLOOKUP(E70,'Tablero de Control'!$E$18:$I$24,5,FALSE)</f>
        <v>40</v>
      </c>
      <c r="J70" s="183">
        <f t="shared" si="42"/>
        <v>513054257.36579323</v>
      </c>
      <c r="K70" s="183">
        <f t="shared" si="43"/>
        <v>1765026821.5542903</v>
      </c>
      <c r="L70" s="194">
        <f t="shared" si="44"/>
        <v>0.29067788154856222</v>
      </c>
    </row>
    <row r="71" spans="2:12" x14ac:dyDescent="0.25">
      <c r="B71" s="184"/>
      <c r="C71" s="185"/>
      <c r="D71" s="179" t="str">
        <f t="shared" si="40"/>
        <v>PRETRATAMIENTO</v>
      </c>
      <c r="E71" s="179" t="str">
        <f t="shared" si="40"/>
        <v>ACTIVO 3</v>
      </c>
      <c r="F71" s="189">
        <f t="shared" si="40"/>
        <v>4</v>
      </c>
      <c r="G71" s="189">
        <f>+'Tablero de Control'!G20</f>
        <v>5</v>
      </c>
      <c r="H71" s="190">
        <f t="shared" si="41"/>
        <v>2000000000</v>
      </c>
      <c r="I71" s="182">
        <f>+VLOOKUP(E71,'Tablero de Control'!$E$18:$I$24,5,FALSE)</f>
        <v>30</v>
      </c>
      <c r="J71" s="183">
        <f t="shared" si="42"/>
        <v>597384671.50733209</v>
      </c>
      <c r="K71" s="183">
        <f t="shared" si="43"/>
        <v>1765026821.5542903</v>
      </c>
      <c r="L71" s="194">
        <f t="shared" si="44"/>
        <v>0.33845642695745132</v>
      </c>
    </row>
    <row r="72" spans="2:12" x14ac:dyDescent="0.25">
      <c r="B72" s="186"/>
      <c r="C72" s="187"/>
      <c r="D72" s="179" t="str">
        <f t="shared" si="40"/>
        <v>TRATAMIENTO</v>
      </c>
      <c r="E72" s="179" t="str">
        <f t="shared" si="40"/>
        <v>ACTIVO 4*</v>
      </c>
      <c r="F72" s="189">
        <f t="shared" si="40"/>
        <v>3</v>
      </c>
      <c r="G72" s="189">
        <f>+'Tablero de Control'!G21</f>
        <v>3</v>
      </c>
      <c r="H72" s="190">
        <f t="shared" si="41"/>
        <v>1800000000</v>
      </c>
      <c r="I72" s="182">
        <f>+VLOOKUP(E72,'Tablero de Control'!$E$18:$I$24,5,FALSE)</f>
        <v>40</v>
      </c>
      <c r="J72" s="183">
        <f t="shared" si="42"/>
        <v>805303531.55253291</v>
      </c>
      <c r="K72" s="183">
        <f t="shared" si="43"/>
        <v>1765026821.5542903</v>
      </c>
      <c r="L72" s="194">
        <f t="shared" si="44"/>
        <v>0.45625569068881294</v>
      </c>
    </row>
    <row r="73" spans="2:12" x14ac:dyDescent="0.25">
      <c r="B73" s="179" t="str">
        <f>+B62</f>
        <v>ACUEDUCTO</v>
      </c>
      <c r="C73" s="178" t="str">
        <f>+C62</f>
        <v>TRANSPORTE DE AGUA POTABLE</v>
      </c>
      <c r="D73" s="179" t="str">
        <f t="shared" si="40"/>
        <v xml:space="preserve">CONDUCCIÓN </v>
      </c>
      <c r="E73" s="179" t="str">
        <f t="shared" si="40"/>
        <v>ACTIVO 5</v>
      </c>
      <c r="F73" s="189">
        <f t="shared" si="40"/>
        <v>2</v>
      </c>
      <c r="G73" s="189">
        <f>+'Tablero de Control'!G22</f>
        <v>2</v>
      </c>
      <c r="H73" s="190">
        <f t="shared" si="41"/>
        <v>6000000000</v>
      </c>
      <c r="I73" s="182">
        <f>+VLOOKUP(E73,'Tablero de Control'!$E$18:$I$24,5,FALSE)</f>
        <v>40</v>
      </c>
      <c r="J73" s="183">
        <f t="shared" si="42"/>
        <v>3251976101.8838358</v>
      </c>
      <c r="K73" s="183">
        <f t="shared" si="43"/>
        <v>1765026821.5542903</v>
      </c>
      <c r="L73" s="194">
        <f t="shared" si="44"/>
        <v>1.8424513793054609</v>
      </c>
    </row>
    <row r="74" spans="2:12" ht="26.4" x14ac:dyDescent="0.25">
      <c r="B74" s="179" t="str">
        <f t="shared" ref="B74:C74" si="45">+B63</f>
        <v>ALCANTARILLADO</v>
      </c>
      <c r="C74" s="178" t="str">
        <f t="shared" si="45"/>
        <v>RECOLECCIÓN Y TRANSPORTE DE AGUAS RESIDUALES</v>
      </c>
      <c r="D74" s="179" t="str">
        <f t="shared" si="40"/>
        <v>ELEVACIÓN Y BOMBEO</v>
      </c>
      <c r="E74" s="179" t="str">
        <f t="shared" si="40"/>
        <v>ACTIVO 6</v>
      </c>
      <c r="F74" s="189">
        <f t="shared" si="40"/>
        <v>2</v>
      </c>
      <c r="G74" s="189">
        <f>+'Tablero de Control'!G23</f>
        <v>2</v>
      </c>
      <c r="H74" s="190">
        <f t="shared" si="41"/>
        <v>5000000000</v>
      </c>
      <c r="I74" s="182">
        <f>+VLOOKUP(E74,'Tablero de Control'!$E$18:$I$24,5,FALSE)</f>
        <v>35</v>
      </c>
      <c r="J74" s="183">
        <f t="shared" si="42"/>
        <v>2754842011.4922066</v>
      </c>
      <c r="K74" s="183">
        <f t="shared" si="43"/>
        <v>1765026821.5542903</v>
      </c>
      <c r="L74" s="194">
        <f t="shared" si="44"/>
        <v>1.5607932853203221</v>
      </c>
    </row>
    <row r="75" spans="2:12" ht="26.4" x14ac:dyDescent="0.25">
      <c r="B75" s="179" t="str">
        <f t="shared" ref="B75:C75" si="46">+B64</f>
        <v>ALCANTARILLADO</v>
      </c>
      <c r="C75" s="178" t="str">
        <f t="shared" si="46"/>
        <v>TRATAMIENTO Y/O DISPOSICIÓN FINAL DE AGUAS RESIDUALES</v>
      </c>
      <c r="D75" s="179" t="str">
        <f t="shared" si="40"/>
        <v>DISPOSICIÓN FINAL</v>
      </c>
      <c r="E75" s="179" t="str">
        <f t="shared" si="40"/>
        <v>ACTIVO 7</v>
      </c>
      <c r="F75" s="189">
        <f t="shared" si="40"/>
        <v>8</v>
      </c>
      <c r="G75" s="189">
        <f>+'Tablero de Control'!G24</f>
        <v>5</v>
      </c>
      <c r="H75" s="190">
        <f t="shared" si="41"/>
        <v>3000000000</v>
      </c>
      <c r="I75" s="182">
        <f>+VLOOKUP(E75,'Tablero de Control'!$E$18:$I$24,5,FALSE)</f>
        <v>30</v>
      </c>
      <c r="J75" s="183">
        <f t="shared" si="42"/>
        <v>896077007.26099825</v>
      </c>
      <c r="K75" s="183">
        <f t="shared" si="43"/>
        <v>1765026821.5542903</v>
      </c>
      <c r="L75" s="194">
        <f t="shared" si="44"/>
        <v>0.507684640436177</v>
      </c>
    </row>
    <row r="77" spans="2:12" x14ac:dyDescent="0.25">
      <c r="K77" s="174" t="s">
        <v>106</v>
      </c>
      <c r="L77" s="196">
        <f>SUM(L69:L75)</f>
        <v>5.2497946879727939</v>
      </c>
    </row>
  </sheetData>
  <sheetProtection algorithmName="SHA-512" hashValue="wbv9J2t+UcsEkEHOVmrM1fp69Tl/PtxSVoT0TUJEyLeGjzvq2LQ8uLY1ewofnN3isoXZho7Sw0gIe4CH9Dm2JQ==" saltValue="ddyfA+x23GXZzVWUgztbzg==" spinCount="100000" sheet="1" objects="1" scenarios="1"/>
  <mergeCells count="13">
    <mergeCell ref="B69:B72"/>
    <mergeCell ref="C69:C72"/>
    <mergeCell ref="B36:B39"/>
    <mergeCell ref="C36:C39"/>
    <mergeCell ref="B47:B50"/>
    <mergeCell ref="C47:C50"/>
    <mergeCell ref="B58:B61"/>
    <mergeCell ref="C58:C61"/>
    <mergeCell ref="B2:N6"/>
    <mergeCell ref="B14:B17"/>
    <mergeCell ref="C14:C17"/>
    <mergeCell ref="B25:B28"/>
    <mergeCell ref="C25:C28"/>
  </mergeCells>
  <pageMargins left="0.7" right="0.7" top="0.75" bottom="0.75" header="0.3" footer="0.3"/>
  <pageSetup orientation="portrait" r:id="rId1"/>
  <ignoredErrors>
    <ignoredError sqref="E32:E34 E55:E56 E43:E45 E54 E65:E67"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'Tablero de Control'!$C$10:$C$11</xm:f>
          </x14:formula1>
          <xm:sqref>C6 C8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W68"/>
  <sheetViews>
    <sheetView showGridLines="0" zoomScaleNormal="100" workbookViewId="0"/>
  </sheetViews>
  <sheetFormatPr baseColWidth="10" defaultColWidth="10.88671875" defaultRowHeight="11.4" x14ac:dyDescent="0.2"/>
  <cols>
    <col min="1" max="1" width="10.88671875" style="72"/>
    <col min="2" max="2" width="16.44140625" style="72" customWidth="1"/>
    <col min="3" max="3" width="27.88671875" style="72" customWidth="1"/>
    <col min="4" max="5" width="22.44140625" style="72" bestFit="1" customWidth="1"/>
    <col min="6" max="9" width="19.5546875" style="72" customWidth="1"/>
    <col min="10" max="10" width="17.5546875" style="72" customWidth="1"/>
    <col min="11" max="12" width="19.5546875" style="72" customWidth="1"/>
    <col min="13" max="14" width="24.109375" style="72" customWidth="1"/>
    <col min="15" max="15" width="19.5546875" style="72" customWidth="1"/>
    <col min="16" max="16" width="18.5546875" style="72" customWidth="1"/>
    <col min="17" max="17" width="19.109375" style="72" customWidth="1"/>
    <col min="18" max="20" width="17.5546875" style="72" customWidth="1"/>
    <col min="21" max="21" width="18.44140625" style="72" customWidth="1"/>
    <col min="22" max="23" width="17" style="72" customWidth="1"/>
    <col min="24" max="16384" width="10.88671875" style="72"/>
  </cols>
  <sheetData>
    <row r="2" spans="2:49" ht="15" customHeight="1" x14ac:dyDescent="0.2">
      <c r="B2" s="134" t="s">
        <v>66</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2:49" ht="15" customHeight="1" x14ac:dyDescent="0.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row>
    <row r="4" spans="2:49" ht="15" customHeight="1" x14ac:dyDescent="0.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row>
    <row r="5" spans="2:49" ht="15" customHeight="1" x14ac:dyDescent="0.2">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row>
    <row r="6" spans="2:49" ht="15" customHeight="1" x14ac:dyDescent="0.2">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row>
    <row r="9" spans="2:49" ht="20.25" customHeight="1" thickBot="1" x14ac:dyDescent="0.25">
      <c r="B9" s="135" t="s">
        <v>99</v>
      </c>
      <c r="C9" s="135"/>
      <c r="D9" s="135"/>
      <c r="E9" s="135"/>
      <c r="F9" s="135"/>
      <c r="G9" s="135"/>
      <c r="H9" s="135"/>
      <c r="I9" s="135"/>
      <c r="J9" s="135"/>
      <c r="K9" s="135"/>
      <c r="L9" s="135"/>
      <c r="M9" s="135"/>
      <c r="N9" s="135"/>
      <c r="O9" s="135"/>
    </row>
    <row r="10" spans="2:49" ht="16.5" customHeight="1" thickTop="1" thickBot="1" x14ac:dyDescent="0.25">
      <c r="B10" s="135"/>
      <c r="C10" s="135"/>
      <c r="D10" s="135"/>
      <c r="E10" s="135"/>
      <c r="F10" s="135"/>
      <c r="G10" s="135"/>
      <c r="H10" s="135"/>
      <c r="I10" s="135"/>
      <c r="J10" s="135"/>
      <c r="K10" s="135"/>
      <c r="L10" s="135"/>
      <c r="M10" s="135"/>
      <c r="N10" s="135"/>
      <c r="O10" s="135"/>
    </row>
    <row r="11" spans="2:49" ht="16.5" customHeight="1" thickTop="1" thickBot="1" x14ac:dyDescent="0.25">
      <c r="B11" s="135"/>
      <c r="C11" s="135"/>
      <c r="D11" s="135"/>
      <c r="E11" s="135"/>
      <c r="F11" s="135"/>
      <c r="G11" s="135"/>
      <c r="H11" s="135"/>
      <c r="I11" s="135"/>
      <c r="J11" s="135"/>
      <c r="K11" s="135"/>
      <c r="L11" s="135"/>
      <c r="M11" s="135"/>
      <c r="N11" s="135"/>
      <c r="O11" s="135"/>
    </row>
    <row r="12" spans="2:49" ht="12" thickTop="1" x14ac:dyDescent="0.2"/>
    <row r="13" spans="2:49" ht="12" thickBot="1" x14ac:dyDescent="0.25">
      <c r="E13" s="106"/>
      <c r="F13" s="107"/>
      <c r="G13" s="107"/>
      <c r="H13" s="108"/>
    </row>
    <row r="14" spans="2:49" x14ac:dyDescent="0.2">
      <c r="B14" s="148" t="s">
        <v>113</v>
      </c>
      <c r="C14" s="150">
        <v>5</v>
      </c>
      <c r="E14" s="109"/>
      <c r="F14" s="110"/>
      <c r="G14" s="110"/>
      <c r="H14" s="111"/>
    </row>
    <row r="15" spans="2:49" ht="12" thickBot="1" x14ac:dyDescent="0.25">
      <c r="B15" s="149"/>
      <c r="C15" s="151"/>
      <c r="E15" s="109"/>
      <c r="F15" s="110"/>
      <c r="G15" s="110"/>
      <c r="H15" s="111"/>
    </row>
    <row r="16" spans="2:49" x14ac:dyDescent="0.2">
      <c r="E16" s="112"/>
      <c r="F16" s="113"/>
      <c r="G16" s="113"/>
      <c r="H16" s="114"/>
    </row>
    <row r="17" spans="1:23" ht="12" thickBot="1" x14ac:dyDescent="0.25"/>
    <row r="18" spans="1:23" ht="15" customHeight="1" thickTop="1" thickBot="1" x14ac:dyDescent="0.25">
      <c r="A18" s="73"/>
      <c r="B18" s="129" t="s">
        <v>68</v>
      </c>
      <c r="C18" s="129"/>
      <c r="D18" s="129"/>
      <c r="E18" s="129"/>
      <c r="F18" s="129"/>
      <c r="G18" s="129"/>
      <c r="H18" s="147" t="s">
        <v>109</v>
      </c>
      <c r="I18" s="147"/>
      <c r="J18" s="136" t="s">
        <v>138</v>
      </c>
      <c r="K18" s="136" t="s">
        <v>137</v>
      </c>
      <c r="L18" s="145" t="s">
        <v>108</v>
      </c>
      <c r="M18" s="145"/>
      <c r="N18" s="139" t="s">
        <v>67</v>
      </c>
      <c r="O18" s="140"/>
      <c r="P18" s="139" t="s">
        <v>69</v>
      </c>
      <c r="Q18" s="140"/>
      <c r="R18" s="120"/>
      <c r="S18" s="136"/>
      <c r="T18" s="136"/>
      <c r="U18" s="136"/>
      <c r="V18" s="136"/>
      <c r="W18" s="120"/>
    </row>
    <row r="19" spans="1:23" ht="12.6" customHeight="1" thickTop="1" thickBot="1" x14ac:dyDescent="0.25">
      <c r="A19" s="73"/>
      <c r="B19" s="129"/>
      <c r="C19" s="129"/>
      <c r="D19" s="129"/>
      <c r="E19" s="129"/>
      <c r="F19" s="129"/>
      <c r="G19" s="129"/>
      <c r="H19" s="147"/>
      <c r="I19" s="147"/>
      <c r="J19" s="136"/>
      <c r="K19" s="136"/>
      <c r="L19" s="145"/>
      <c r="M19" s="145"/>
      <c r="N19" s="141"/>
      <c r="O19" s="142"/>
      <c r="P19" s="141"/>
      <c r="Q19" s="142"/>
      <c r="R19" s="137"/>
      <c r="S19" s="136"/>
      <c r="T19" s="136"/>
      <c r="U19" s="136"/>
      <c r="V19" s="136"/>
      <c r="W19" s="137"/>
    </row>
    <row r="20" spans="1:23" ht="22.35" customHeight="1" thickTop="1" thickBot="1" x14ac:dyDescent="0.25">
      <c r="A20" s="73"/>
      <c r="B20" s="129"/>
      <c r="C20" s="129"/>
      <c r="D20" s="129"/>
      <c r="E20" s="129"/>
      <c r="F20" s="129"/>
      <c r="G20" s="129"/>
      <c r="H20" s="147"/>
      <c r="I20" s="147"/>
      <c r="J20" s="136"/>
      <c r="K20" s="136"/>
      <c r="L20" s="145"/>
      <c r="M20" s="145"/>
      <c r="N20" s="143"/>
      <c r="O20" s="144"/>
      <c r="P20" s="143"/>
      <c r="Q20" s="144"/>
      <c r="R20" s="138"/>
      <c r="S20" s="136"/>
      <c r="T20" s="136"/>
      <c r="U20" s="136"/>
      <c r="V20" s="136"/>
      <c r="W20" s="146"/>
    </row>
    <row r="21" spans="1:23" ht="42.75" customHeight="1" thickTop="1" thickBot="1" x14ac:dyDescent="0.25">
      <c r="A21" s="73"/>
      <c r="B21" s="74" t="s">
        <v>118</v>
      </c>
      <c r="C21" s="74" t="s">
        <v>119</v>
      </c>
      <c r="D21" s="74" t="str">
        <f>+'CMI POIR actualizado'!D68</f>
        <v>Actividad del activo j</v>
      </c>
      <c r="E21" s="74" t="str">
        <f>+'CMI POIR actualizado'!E68</f>
        <v>Identificación del activo</v>
      </c>
      <c r="F21" s="74" t="str">
        <f>+'CMI POIR actualizado'!F68</f>
        <v>Año planeado</v>
      </c>
      <c r="G21" s="74" t="str">
        <f>+'CMI POIR actualizado'!H68</f>
        <v>Vida Útil</v>
      </c>
      <c r="H21" s="74" t="s">
        <v>110</v>
      </c>
      <c r="I21" s="74" t="s">
        <v>132</v>
      </c>
      <c r="J21" s="136"/>
      <c r="K21" s="136"/>
      <c r="L21" s="74" t="str">
        <f>+'CMI POIR actualizado'!I68</f>
        <v>VP(CIi,ac, al)</v>
      </c>
      <c r="M21" s="74" t="str">
        <f>+'CMI POIR planeado'!I68</f>
        <v>VP(CIi,ac, al)</v>
      </c>
      <c r="N21" s="74" t="str">
        <f>+'CMI POIR actualizado'!G68</f>
        <v>Valor POIR planeado del activo j</v>
      </c>
      <c r="O21" s="74" t="str">
        <f>+'CMI POIR actualizado'!I68</f>
        <v>VP(CIi,ac, al)</v>
      </c>
      <c r="P21" s="74" t="str">
        <f>+'CMI POIR ejecutado'!H68</f>
        <v>Valor POIR ejecutado del activo j</v>
      </c>
      <c r="Q21" s="74" t="str">
        <f>+'CMI POIR ejecutado'!J68</f>
        <v>VP(CIi,ac, al)</v>
      </c>
      <c r="R21" s="74" t="str">
        <f>+'CMI POIR ejecutado'!K68</f>
        <v>VP(CCPi,ac, al)</v>
      </c>
      <c r="S21" s="75">
        <v>1</v>
      </c>
      <c r="T21" s="76">
        <v>2</v>
      </c>
      <c r="U21" s="75">
        <v>3</v>
      </c>
      <c r="V21" s="76">
        <v>4</v>
      </c>
      <c r="W21" s="75">
        <v>5</v>
      </c>
    </row>
    <row r="22" spans="1:23" ht="82.2" thickTop="1" x14ac:dyDescent="0.2">
      <c r="A22" s="73"/>
      <c r="B22" s="123" t="str">
        <f>+'Tablero de Control'!B18</f>
        <v>ACUEDUCTO</v>
      </c>
      <c r="C22" s="126" t="str">
        <f>+'Tablero de Control'!C18</f>
        <v>PRODUCCIÓN DE AGUA POTABLE</v>
      </c>
      <c r="D22" s="77" t="str">
        <f>+'CMI POIR actualizado'!D69</f>
        <v>CAPTACIÓN</v>
      </c>
      <c r="E22" s="77" t="str">
        <f>+'CMI POIR actualizado'!E69</f>
        <v>ACTIVO 1</v>
      </c>
      <c r="F22" s="78">
        <f>+'CMI POIR actualizado'!F69</f>
        <v>3</v>
      </c>
      <c r="G22" s="79">
        <f>+'CMI POIR actualizado'!H69</f>
        <v>40</v>
      </c>
      <c r="H22" s="90" t="str">
        <f>+IFERROR(IF('Tablero de Control'!U18&lt;&gt;'Tablero de Control'!H18,"Sí","No"),"")</f>
        <v>Sí</v>
      </c>
      <c r="I22" s="90">
        <v>3</v>
      </c>
      <c r="J22" s="89" t="s">
        <v>133</v>
      </c>
      <c r="K22" s="95" t="s">
        <v>117</v>
      </c>
      <c r="L22" s="80">
        <f>+'CMI POIR planeado'!G69</f>
        <v>1100000000</v>
      </c>
      <c r="M22" s="91">
        <f>+'CMI POIR planeado'!I69</f>
        <v>596195618.67870343</v>
      </c>
      <c r="N22" s="80">
        <f>+'CMI POIR actualizado'!G69</f>
        <v>1000000000</v>
      </c>
      <c r="O22" s="91">
        <f>+'CMI POIR actualizado'!I69</f>
        <v>447390850.86251837</v>
      </c>
      <c r="P22" s="80">
        <f>+'CMI POIR ejecutado'!H69</f>
        <v>1000000000</v>
      </c>
      <c r="Q22" s="91">
        <f>+IFERROR(IF($K22="Sí",'CMI POIR ejecutado'!$J69,0),"")</f>
        <v>447390850.86251837</v>
      </c>
      <c r="R22" s="92">
        <f>+'CMI POIR ejecutado'!K69</f>
        <v>1765026821.5542903</v>
      </c>
      <c r="S22" s="93">
        <f>+IFERROR(IF($K22="No",0,IF(AND($C$14=5,S$21&gt;=$I22),($O22-$Q22)/$R22,IF(AND(S$21&lt;$I22,$H22="Sí",$I22&gt;'CMI POIR planeado'!$F14),($M22-$Q22)/$R22,($O22-$Q22)/$R22))),"")</f>
        <v>8.4307369156660705E-2</v>
      </c>
      <c r="T22" s="93">
        <f>+IFERROR(IF($K22="No",0,IF(AND($C$14=5,T$21&gt;=$I22),($O22-$Q22)/$R22,IF(AND(T$21&lt;$I22,$H22="Sí",$I22&gt;'CMI POIR planeado'!$F14),($M22-$Q22)/$R22,($O22-$Q22)/$R22))),"")</f>
        <v>8.4307369156660705E-2</v>
      </c>
      <c r="U22" s="93">
        <f>+IFERROR(IF($K22="No",0,IF(AND($C$14=5,U$21&gt;=$I22),($O22-$Q22)/$R22,IF(AND(U$21&lt;$I22,$H22="Sí",$I22&gt;'CMI POIR planeado'!$F14),($M22-$Q22)/$R22,($O22-$Q22)/$R22))),"")</f>
        <v>0</v>
      </c>
      <c r="V22" s="93">
        <f>+IFERROR(IF($K22="No",0,IF(AND($C$14=5,V$21&gt;=$I22),($O22-$Q22)/$R22,IF(AND(V$21&lt;$I22,$H22="Sí",$I22&gt;'CMI POIR planeado'!$F14),($M22-$Q22)/$R22,($O22-$Q22)/$R22))),"")</f>
        <v>0</v>
      </c>
      <c r="W22" s="93">
        <f>+IFERROR(IF($K22="No",0,IF(AND($C$14=5,W$21&gt;=$I22),($O22-$Q22)/$R22,IF(AND(W$21&lt;$I22,$H22="Sí",$I22&gt;'CMI POIR planeado'!$F14),($M22-$Q22)/$R22,($O22-$Q22)/$R22))),"")</f>
        <v>0</v>
      </c>
    </row>
    <row r="23" spans="1:23" ht="81.599999999999994" x14ac:dyDescent="0.2">
      <c r="A23" s="73"/>
      <c r="B23" s="124"/>
      <c r="C23" s="127"/>
      <c r="D23" s="77" t="str">
        <f>+'CMI POIR actualizado'!D70</f>
        <v xml:space="preserve">ADUCCIÓN </v>
      </c>
      <c r="E23" s="77" t="str">
        <f>+'CMI POIR actualizado'!E70</f>
        <v>ACTIVO 2</v>
      </c>
      <c r="F23" s="78">
        <f>+'CMI POIR actualizado'!F70</f>
        <v>5</v>
      </c>
      <c r="G23" s="79">
        <f>+'CMI POIR actualizado'!H70</f>
        <v>40</v>
      </c>
      <c r="H23" s="90" t="str">
        <f>+IFERROR(IF('Tablero de Control'!U19&lt;&gt;'Tablero de Control'!H19,"Sí","No"),"")</f>
        <v>Sí</v>
      </c>
      <c r="I23" s="90">
        <v>3</v>
      </c>
      <c r="J23" s="89" t="s">
        <v>115</v>
      </c>
      <c r="K23" s="95" t="s">
        <v>117</v>
      </c>
      <c r="L23" s="80">
        <f>+'CMI POIR planeado'!G70</f>
        <v>1500000000</v>
      </c>
      <c r="M23" s="91">
        <f>+'CMI POIR planeado'!I70</f>
        <v>428411410.7478078</v>
      </c>
      <c r="N23" s="80">
        <f>+'CMI POIR actualizado'!G70</f>
        <v>1796360616.7850602</v>
      </c>
      <c r="O23" s="91">
        <f>+'CMI POIR actualizado'!I70</f>
        <v>513054257.36579323</v>
      </c>
      <c r="P23" s="80">
        <f>+'CMI POIR ejecutado'!H70</f>
        <v>1796360616.7850602</v>
      </c>
      <c r="Q23" s="91">
        <f>+IFERROR(IF($K23="Sí",'CMI POIR ejecutado'!$J70,0),"")</f>
        <v>513054257.36579323</v>
      </c>
      <c r="R23" s="92">
        <f>+'CMI POIR ejecutado'!K70</f>
        <v>1765026821.5542903</v>
      </c>
      <c r="S23" s="93">
        <f>+IFERROR(IF($K23="No",0,IF(AND($C$14=5,S$21&gt;=$I23),($O23-$Q23)/$R23,IF(AND(S$21&lt;$I23,$H23="Sí",$I23&gt;'CMI POIR planeado'!$F15),($M23-$Q23)/$R23,($O23-$Q23)/$R23))),"")</f>
        <v>0</v>
      </c>
      <c r="T23" s="93">
        <f>+IFERROR(IF($K23="No",0,IF(AND($C$14=5,T$21&gt;=$I23),($O23-$Q23)/$R23,IF(AND(T$21&lt;$I23,$H23="Sí",$I23&gt;'CMI POIR planeado'!$F15),($M23-$Q23)/$R23,($O23-$Q23)/$R23))),"")</f>
        <v>0</v>
      </c>
      <c r="U23" s="93">
        <f>+IFERROR(IF($K23="No",0,IF(AND($C$14=5,U$21&gt;=$I23),($O23-$Q23)/$R23,IF(AND(U$21&lt;$I23,$H23="Sí",$I23&gt;'CMI POIR planeado'!$F15),($M23-$Q23)/$R23,($O23-$Q23)/$R23))),"")</f>
        <v>0</v>
      </c>
      <c r="V23" s="93">
        <f>+IFERROR(IF($K23="No",0,IF(AND($C$14=5,V$21&gt;=$I23),($O23-$Q23)/$R23,IF(AND(V$21&lt;$I23,$H23="Sí",$I23&gt;'CMI POIR planeado'!$F15),($M23-$Q23)/$R23,($O23-$Q23)/$R23))),"")</f>
        <v>0</v>
      </c>
      <c r="W23" s="93">
        <f>+IFERROR(IF($K23="No",0,IF(AND($C$14=5,W$21&gt;=$I23),($O23-$Q23)/$R23,IF(AND(W$21&lt;$I23,$H23="Sí",$I23&gt;'CMI POIR planeado'!$F15),($M23-$Q23)/$R23,($O23-$Q23)/$R23))),"")</f>
        <v>0</v>
      </c>
    </row>
    <row r="24" spans="1:23" ht="61.2" x14ac:dyDescent="0.2">
      <c r="A24" s="73"/>
      <c r="B24" s="124"/>
      <c r="C24" s="127"/>
      <c r="D24" s="77" t="str">
        <f>+'CMI POIR actualizado'!D71</f>
        <v>PRETRATAMIENTO</v>
      </c>
      <c r="E24" s="77" t="str">
        <f>+'CMI POIR actualizado'!E71</f>
        <v>ACTIVO 3</v>
      </c>
      <c r="F24" s="78">
        <f>+'CMI POIR actualizado'!F71</f>
        <v>4</v>
      </c>
      <c r="G24" s="79">
        <f>+'CMI POIR actualizado'!H71</f>
        <v>30</v>
      </c>
      <c r="H24" s="90" t="str">
        <f>+IFERROR(IF('Tablero de Control'!U20&lt;&gt;'Tablero de Control'!H20,"Sí","No"),"")</f>
        <v>No</v>
      </c>
      <c r="I24" s="90"/>
      <c r="J24" s="89" t="s">
        <v>114</v>
      </c>
      <c r="K24" s="95" t="s">
        <v>117</v>
      </c>
      <c r="L24" s="80">
        <f>+'CMI POIR planeado'!G71</f>
        <v>2000000000</v>
      </c>
      <c r="M24" s="91">
        <f>+'CMI POIR planeado'!I71</f>
        <v>755951261.73648977</v>
      </c>
      <c r="N24" s="80">
        <f>+'CMI POIR actualizado'!G71</f>
        <v>2000000000</v>
      </c>
      <c r="O24" s="91">
        <f>+'CMI POIR actualizado'!I71</f>
        <v>755951261.73648977</v>
      </c>
      <c r="P24" s="80">
        <f>+'CMI POIR ejecutado'!H71</f>
        <v>2000000000</v>
      </c>
      <c r="Q24" s="91">
        <f>+IFERROR(IF($K24="Sí",'CMI POIR ejecutado'!$J71,0),"")</f>
        <v>597384671.50733209</v>
      </c>
      <c r="R24" s="92">
        <f>+'CMI POIR ejecutado'!K71</f>
        <v>1765026821.5542903</v>
      </c>
      <c r="S24" s="93">
        <f>+IFERROR(IF($K24="No",0,IF(AND($C$14=5,S$21&gt;=$I24),($O24-$Q24)/$R24,IF(AND(S$21&lt;$I24,$H24="Sí",$I24&gt;'CMI POIR planeado'!$F16),($M24-$Q24)/$R24,($O24-$Q24)/$R24))),"")</f>
        <v>8.9838062681406317E-2</v>
      </c>
      <c r="T24" s="93">
        <f>+IFERROR(IF($K24="No",0,IF(AND($C$14=5,T$21&gt;=$I24),($O24-$Q24)/$R24,IF(AND(T$21&lt;$I24,$H24="Sí",$I24&gt;'CMI POIR planeado'!$F16),($M24-$Q24)/$R24,($O24-$Q24)/$R24))),"")</f>
        <v>8.9838062681406317E-2</v>
      </c>
      <c r="U24" s="93">
        <f>+IFERROR(IF($K24="No",0,IF(AND($C$14=5,U$21&gt;=$I24),($O24-$Q24)/$R24,IF(AND(U$21&lt;$I24,$H24="Sí",$I24&gt;'CMI POIR planeado'!$F16),($M24-$Q24)/$R24,($O24-$Q24)/$R24))),"")</f>
        <v>8.9838062681406317E-2</v>
      </c>
      <c r="V24" s="93">
        <f>+IFERROR(IF($K24="No",0,IF(AND($C$14=5,V$21&gt;=$I24),($O24-$Q24)/$R24,IF(AND(V$21&lt;$I24,$H24="Sí",$I24&gt;'CMI POIR planeado'!$F16),($M24-$Q24)/$R24,($O24-$Q24)/$R24))),"")</f>
        <v>8.9838062681406317E-2</v>
      </c>
      <c r="W24" s="93">
        <f>+IFERROR(IF($K24="No",0,IF(AND($C$14=5,W$21&gt;=$I24),($O24-$Q24)/$R24,IF(AND(W$21&lt;$I24,$H24="Sí",$I24&gt;'CMI POIR planeado'!$F16),($M24-$Q24)/$R24,($O24-$Q24)/$R24))),"")</f>
        <v>8.9838062681406317E-2</v>
      </c>
    </row>
    <row r="25" spans="1:23" ht="102" x14ac:dyDescent="0.2">
      <c r="A25" s="73"/>
      <c r="B25" s="125"/>
      <c r="C25" s="128"/>
      <c r="D25" s="77" t="str">
        <f>+'CMI POIR actualizado'!D72</f>
        <v>TRATAMIENTO</v>
      </c>
      <c r="E25" s="77" t="str">
        <f>+'CMI POIR actualizado'!E72</f>
        <v>ACTIVO 4*</v>
      </c>
      <c r="F25" s="78">
        <f>+'CMI POIR actualizado'!F72</f>
        <v>3</v>
      </c>
      <c r="G25" s="79">
        <f>+'CMI POIR actualizado'!H72</f>
        <v>40</v>
      </c>
      <c r="H25" s="90" t="str">
        <f>+IFERROR(IF('Tablero de Control'!U21&lt;&gt;'Tablero de Control'!H21,"Sí","No"),"")</f>
        <v>No</v>
      </c>
      <c r="I25" s="90"/>
      <c r="J25" s="89" t="s">
        <v>136</v>
      </c>
      <c r="K25" s="95" t="s">
        <v>117</v>
      </c>
      <c r="L25" s="80">
        <f>+'CMI POIR planeado'!G72</f>
        <v>1800000000</v>
      </c>
      <c r="M25" s="91">
        <f>+'CMI POIR planeado'!I72</f>
        <v>805303531.55253291</v>
      </c>
      <c r="N25" s="80">
        <f>+'CMI POIR actualizado'!G72</f>
        <v>1800000000</v>
      </c>
      <c r="O25" s="91">
        <f>+'CMI POIR actualizado'!I72</f>
        <v>805303531.55253291</v>
      </c>
      <c r="P25" s="80">
        <f>+'CMI POIR ejecutado'!H72</f>
        <v>1800000000</v>
      </c>
      <c r="Q25" s="91">
        <f>+IFERROR(IF($K25="Sí",'CMI POIR ejecutado'!$J72,0),"")</f>
        <v>805303531.55253291</v>
      </c>
      <c r="R25" s="92">
        <f>+'CMI POIR ejecutado'!K72</f>
        <v>1765026821.5542903</v>
      </c>
      <c r="S25" s="93">
        <f>+IFERROR(IF($K25="No",0,IF(AND($C$14=5,S$21&gt;=$I25),($O25-$Q25)/$R25,IF(AND(S$21&lt;$I25,$H25="Sí",$I25&gt;'CMI POIR planeado'!$F17),($M25-$Q25)/$R25,($O25-$Q25)/$R25))),"")</f>
        <v>0</v>
      </c>
      <c r="T25" s="93">
        <f>+IFERROR(IF($K25="No",0,IF(AND($C$14=5,T$21&gt;=$I25),($O25-$Q25)/$R25,IF(AND(T$21&lt;$I25,$H25="Sí",$I25&gt;'CMI POIR planeado'!$F17),($M25-$Q25)/$R25,($O25-$Q25)/$R25))),"")</f>
        <v>0</v>
      </c>
      <c r="U25" s="93">
        <f>+IFERROR(IF($K25="No",0,IF(AND($C$14=5,U$21&gt;=$I25),($O25-$Q25)/$R25,IF(AND(U$21&lt;$I25,$H25="Sí",$I25&gt;'CMI POIR planeado'!$F17),($M25-$Q25)/$R25,($O25-$Q25)/$R25))),"")</f>
        <v>0</v>
      </c>
      <c r="V25" s="93">
        <f>+IFERROR(IF($K25="No",0,IF(AND($C$14=5,V$21&gt;=$I25),($O25-$Q25)/$R25,IF(AND(V$21&lt;$I25,$H25="Sí",$I25&gt;'CMI POIR planeado'!$F17),($M25-$Q25)/$R25,($O25-$Q25)/$R25))),"")</f>
        <v>0</v>
      </c>
      <c r="W25" s="93">
        <f>+IFERROR(IF($K25="No",0,IF(AND($C$14=5,W$21&gt;=$I25),($O25-$Q25)/$R25,IF(AND(W$21&lt;$I25,$H25="Sí",$I25&gt;'CMI POIR planeado'!$F17),($M25-$Q25)/$R25,($O25-$Q25)/$R25))),"")</f>
        <v>0</v>
      </c>
    </row>
    <row r="26" spans="1:23" ht="71.400000000000006" x14ac:dyDescent="0.2">
      <c r="A26" s="73"/>
      <c r="B26" s="77" t="str">
        <f>+'Tablero de Control'!B22</f>
        <v>ACUEDUCTO</v>
      </c>
      <c r="C26" s="94" t="str">
        <f>+'Tablero de Control'!C22</f>
        <v>TRANSPORTE DE AGUA POTABLE</v>
      </c>
      <c r="D26" s="77" t="str">
        <f>+'CMI POIR actualizado'!D73</f>
        <v xml:space="preserve">CONDUCCIÓN </v>
      </c>
      <c r="E26" s="77" t="str">
        <f>+'CMI POIR actualizado'!E73</f>
        <v>ACTIVO 5</v>
      </c>
      <c r="F26" s="78">
        <f>+'CMI POIR actualizado'!F73</f>
        <v>2</v>
      </c>
      <c r="G26" s="79">
        <f>+'CMI POIR actualizado'!H73</f>
        <v>40</v>
      </c>
      <c r="H26" s="90" t="str">
        <f>+IFERROR(IF('Tablero de Control'!U22&lt;&gt;'Tablero de Control'!H22,"Sí","No"),"")</f>
        <v>No</v>
      </c>
      <c r="I26" s="90"/>
      <c r="J26" s="89" t="s">
        <v>111</v>
      </c>
      <c r="K26" s="95" t="s">
        <v>117</v>
      </c>
      <c r="L26" s="80">
        <f>+'CMI POIR planeado'!G73</f>
        <v>8000000000</v>
      </c>
      <c r="M26" s="91">
        <f>+'CMI POIR planeado'!I73</f>
        <v>4335968135.8451157</v>
      </c>
      <c r="N26" s="80">
        <f>+'CMI POIR actualizado'!G73</f>
        <v>8000000000</v>
      </c>
      <c r="O26" s="91">
        <f>+'CMI POIR actualizado'!I73</f>
        <v>4335968135.8451157</v>
      </c>
      <c r="P26" s="80">
        <f>+'CMI POIR ejecutado'!H73</f>
        <v>6000000000</v>
      </c>
      <c r="Q26" s="91">
        <f>+IFERROR(IF($K26="Sí",'CMI POIR ejecutado'!$J73,0),"")</f>
        <v>3251976101.8838358</v>
      </c>
      <c r="R26" s="92">
        <f>+'CMI POIR ejecutado'!K73</f>
        <v>1765026821.5542903</v>
      </c>
      <c r="S26" s="93">
        <f>+IFERROR(IF($K26="No",0,IF(AND($C$14=5,S$21&gt;=$I26),($O26-$Q26)/$R26,IF(AND(S$21&lt;$I26,$H26="Sí",$I26&gt;'CMI POIR planeado'!$F18),($M26-$Q26)/$R26,($O26-$Q26)/$R26))),"")</f>
        <v>0.6141504597684877</v>
      </c>
      <c r="T26" s="93">
        <f>+IFERROR(IF($K26="No",0,IF(AND($C$14=5,T$21&gt;=$I26),($O26-$Q26)/$R26,IF(AND(T$21&lt;$I26,$H26="Sí",$I26&gt;'CMI POIR planeado'!$F18),($M26-$Q26)/$R26,($O26-$Q26)/$R26))),"")</f>
        <v>0.6141504597684877</v>
      </c>
      <c r="U26" s="93">
        <f>+IFERROR(IF($K26="No",0,IF(AND($C$14=5,U$21&gt;=$I26),($O26-$Q26)/$R26,IF(AND(U$21&lt;$I26,$H26="Sí",$I26&gt;'CMI POIR planeado'!$F18),($M26-$Q26)/$R26,($O26-$Q26)/$R26))),"")</f>
        <v>0.6141504597684877</v>
      </c>
      <c r="V26" s="93">
        <f>+IFERROR(IF($K26="No",0,IF(AND($C$14=5,V$21&gt;=$I26),($O26-$Q26)/$R26,IF(AND(V$21&lt;$I26,$H26="Sí",$I26&gt;'CMI POIR planeado'!$F18),($M26-$Q26)/$R26,($O26-$Q26)/$R26))),"")</f>
        <v>0.6141504597684877</v>
      </c>
      <c r="W26" s="93">
        <f>+IFERROR(IF($K26="No",0,IF(AND($C$14=5,W$21&gt;=$I26),($O26-$Q26)/$R26,IF(AND(W$21&lt;$I26,$H26="Sí",$I26&gt;'CMI POIR planeado'!$F18),($M26-$Q26)/$R26,($O26-$Q26)/$R26))),"")</f>
        <v>0.6141504597684877</v>
      </c>
    </row>
    <row r="27" spans="1:23" ht="71.400000000000006" x14ac:dyDescent="0.2">
      <c r="A27" s="73"/>
      <c r="B27" s="77" t="str">
        <f>+'Tablero de Control'!B23</f>
        <v>ALCANTARILLADO</v>
      </c>
      <c r="C27" s="94" t="str">
        <f>+'Tablero de Control'!C23</f>
        <v>RECOLECCIÓN Y TRANSPORTE DE AGUAS RESIDUALES</v>
      </c>
      <c r="D27" s="77" t="str">
        <f>+'CMI POIR actualizado'!D74</f>
        <v>ELEVACIÓN Y BOMBEO</v>
      </c>
      <c r="E27" s="77" t="str">
        <f>+'CMI POIR actualizado'!E74</f>
        <v>ACTIVO 6</v>
      </c>
      <c r="F27" s="78">
        <f>+'CMI POIR actualizado'!F74</f>
        <v>2</v>
      </c>
      <c r="G27" s="79">
        <f>+'CMI POIR actualizado'!H74</f>
        <v>35</v>
      </c>
      <c r="H27" s="90" t="str">
        <f>+IFERROR(IF('Tablero de Control'!U23&lt;&gt;'Tablero de Control'!H23,"Sí","No"),"")</f>
        <v>No</v>
      </c>
      <c r="I27" s="90"/>
      <c r="J27" s="89" t="s">
        <v>112</v>
      </c>
      <c r="K27" s="95" t="s">
        <v>117</v>
      </c>
      <c r="L27" s="80">
        <f>+'CMI POIR planeado'!G74</f>
        <v>2500000000</v>
      </c>
      <c r="M27" s="91">
        <f>+'CMI POIR planeado'!I74</f>
        <v>1377421005.7461033</v>
      </c>
      <c r="N27" s="80">
        <f>+'CMI POIR actualizado'!G74</f>
        <v>2500000000</v>
      </c>
      <c r="O27" s="91">
        <f>+'CMI POIR actualizado'!I74</f>
        <v>1377421005.7461033</v>
      </c>
      <c r="P27" s="80">
        <f>+'CMI POIR ejecutado'!H74</f>
        <v>5000000000</v>
      </c>
      <c r="Q27" s="91">
        <f>+IFERROR(IF($K27="Sí",'CMI POIR ejecutado'!$J74,0),"")</f>
        <v>2754842011.4922066</v>
      </c>
      <c r="R27" s="92">
        <f>+'CMI POIR ejecutado'!K74</f>
        <v>1765026821.5542903</v>
      </c>
      <c r="S27" s="93">
        <f>+IFERROR(IF($K27="No",0,IF(AND($C$14=5,S$21&gt;=$I27),($O27-$Q27)/$R27,IF(AND(S$21&lt;$I27,$H27="Sí",$I27&gt;'CMI POIR planeado'!$F19),($M27-$Q27)/$R27,($O27-$Q27)/$R27))),"")</f>
        <v>-0.78039664266016107</v>
      </c>
      <c r="T27" s="93">
        <f>+IFERROR(IF($K27="No",0,IF(AND($C$14=5,T$21&gt;=$I27),($O27-$Q27)/$R27,IF(AND(T$21&lt;$I27,$H27="Sí",$I27&gt;'CMI POIR planeado'!$F19),($M27-$Q27)/$R27,($O27-$Q27)/$R27))),"")</f>
        <v>-0.78039664266016107</v>
      </c>
      <c r="U27" s="93">
        <f>+IFERROR(IF($K27="No",0,IF(AND($C$14=5,U$21&gt;=$I27),($O27-$Q27)/$R27,IF(AND(U$21&lt;$I27,$H27="Sí",$I27&gt;'CMI POIR planeado'!$F19),($M27-$Q27)/$R27,($O27-$Q27)/$R27))),"")</f>
        <v>-0.78039664266016107</v>
      </c>
      <c r="V27" s="93">
        <f>+IFERROR(IF($K27="No",0,IF(AND($C$14=5,V$21&gt;=$I27),($O27-$Q27)/$R27,IF(AND(V$21&lt;$I27,$H27="Sí",$I27&gt;'CMI POIR planeado'!$F19),($M27-$Q27)/$R27,($O27-$Q27)/$R27))),"")</f>
        <v>-0.78039664266016107</v>
      </c>
      <c r="W27" s="93">
        <f>+IFERROR(IF($K27="No",0,IF(AND($C$14=5,W$21&gt;=$I27),($O27-$Q27)/$R27,IF(AND(W$21&lt;$I27,$H27="Sí",$I27&gt;'CMI POIR planeado'!$F19),($M27-$Q27)/$R27,($O27-$Q27)/$R27))),"")</f>
        <v>-0.78039664266016107</v>
      </c>
    </row>
    <row r="28" spans="1:23" ht="40.799999999999997" x14ac:dyDescent="0.2">
      <c r="A28" s="73"/>
      <c r="B28" s="77" t="str">
        <f>+'Tablero de Control'!B24</f>
        <v>ALCANTARILLADO</v>
      </c>
      <c r="C28" s="94" t="str">
        <f>+'Tablero de Control'!C24</f>
        <v>TRATAMIENTO Y/O DISPOSICIÓN FINAL DE AGUAS RESIDUALES</v>
      </c>
      <c r="D28" s="77" t="str">
        <f>+'CMI POIR actualizado'!D75</f>
        <v>DISPOSICIÓN FINAL</v>
      </c>
      <c r="E28" s="77" t="str">
        <f>+'CMI POIR actualizado'!E75</f>
        <v>ACTIVO 7</v>
      </c>
      <c r="F28" s="78">
        <f>+'CMI POIR actualizado'!F75</f>
        <v>8</v>
      </c>
      <c r="G28" s="79">
        <f>+'CMI POIR actualizado'!H75</f>
        <v>30</v>
      </c>
      <c r="H28" s="90" t="str">
        <f>+IFERROR(IF('Tablero de Control'!U24&lt;&gt;'Tablero de Control'!H24,"Sí","No"),"")</f>
        <v>No</v>
      </c>
      <c r="I28" s="90"/>
      <c r="J28" s="89" t="s">
        <v>116</v>
      </c>
      <c r="K28" s="95" t="s">
        <v>117</v>
      </c>
      <c r="L28" s="80">
        <f>+'CMI POIR planeado'!G75</f>
        <v>3000000000</v>
      </c>
      <c r="M28" s="91">
        <f>+'CMI POIR planeado'!I75</f>
        <v>308393293.97621721</v>
      </c>
      <c r="N28" s="80">
        <f>+'CMI POIR actualizado'!G75</f>
        <v>3000000000</v>
      </c>
      <c r="O28" s="91">
        <f>+'CMI POIR actualizado'!I75</f>
        <v>308393293.97621721</v>
      </c>
      <c r="P28" s="80">
        <f>+'CMI POIR ejecutado'!H75</f>
        <v>3000000000</v>
      </c>
      <c r="Q28" s="91">
        <f>+IFERROR(IF($K28="Sí",'CMI POIR ejecutado'!$J75,0),"")</f>
        <v>896077007.26099825</v>
      </c>
      <c r="R28" s="92">
        <f>+'CMI POIR ejecutado'!K75</f>
        <v>1765026821.5542903</v>
      </c>
      <c r="S28" s="93">
        <f>+IFERROR(IF($K28="No",0,IF(AND($C$14=5,S$21&gt;=$I28),($O28-$Q28)/$R28,IF(AND(S$21&lt;$I28,$H28="Sí",$I28&gt;'CMI POIR planeado'!$F20),($M28-$Q28)/$R28,($O28-$Q28)/$R28))),"")</f>
        <v>-0.33296021686926214</v>
      </c>
      <c r="T28" s="93">
        <f>+IFERROR(IF($K28="No",0,IF(AND($C$14=5,T$21&gt;=$I28),($O28-$Q28)/$R28,IF(AND(T$21&lt;$I28,$H28="Sí",$I28&gt;'CMI POIR planeado'!$F20),($M28-$Q28)/$R28,($O28-$Q28)/$R28))),"")</f>
        <v>-0.33296021686926214</v>
      </c>
      <c r="U28" s="93">
        <f>+IFERROR(IF($K28="No",0,IF(AND($C$14=5,U$21&gt;=$I28),($O28-$Q28)/$R28,IF(AND(U$21&lt;$I28,$H28="Sí",$I28&gt;'CMI POIR planeado'!$F20),($M28-$Q28)/$R28,($O28-$Q28)/$R28))),"")</f>
        <v>-0.33296021686926214</v>
      </c>
      <c r="V28" s="93">
        <f>+IFERROR(IF($K28="No",0,IF(AND($C$14=5,V$21&gt;=$I28),($O28-$Q28)/$R28,IF(AND(V$21&lt;$I28,$H28="Sí",$I28&gt;'CMI POIR planeado'!$F20),($M28-$Q28)/$R28,($O28-$Q28)/$R28))),"")</f>
        <v>-0.33296021686926214</v>
      </c>
      <c r="W28" s="93">
        <f>+IFERROR(IF($K28="No",0,IF(AND($C$14=5,W$21&gt;=$I28),($O28-$Q28)/$R28,IF(AND(W$21&lt;$I28,$H28="Sí",$I28&gt;'CMI POIR planeado'!$F20),($M28-$Q28)/$R28,($O28-$Q28)/$R28))),"")</f>
        <v>-0.33296021686926214</v>
      </c>
    </row>
    <row r="31" spans="1:23" ht="20.399999999999999" customHeight="1" thickBot="1" x14ac:dyDescent="0.25">
      <c r="B31" s="135" t="s">
        <v>100</v>
      </c>
      <c r="C31" s="135"/>
      <c r="D31" s="135"/>
      <c r="E31" s="135"/>
      <c r="F31" s="135"/>
      <c r="G31" s="135"/>
      <c r="H31" s="135"/>
      <c r="I31" s="135"/>
      <c r="J31" s="135"/>
      <c r="K31" s="135"/>
      <c r="L31" s="135"/>
      <c r="M31" s="135"/>
    </row>
    <row r="32" spans="1:23" ht="22.35" customHeight="1" thickTop="1" thickBot="1" x14ac:dyDescent="0.25">
      <c r="B32" s="135"/>
      <c r="C32" s="135"/>
      <c r="D32" s="135"/>
      <c r="E32" s="135"/>
      <c r="F32" s="135"/>
      <c r="G32" s="135"/>
      <c r="H32" s="135"/>
      <c r="I32" s="135"/>
      <c r="J32" s="135"/>
      <c r="K32" s="135"/>
      <c r="L32" s="135"/>
      <c r="M32" s="135"/>
    </row>
    <row r="33" spans="2:17" ht="12" thickTop="1" x14ac:dyDescent="0.2"/>
    <row r="34" spans="2:17" x14ac:dyDescent="0.2">
      <c r="E34" s="106"/>
      <c r="F34" s="107"/>
      <c r="G34" s="107"/>
      <c r="H34" s="108"/>
    </row>
    <row r="35" spans="2:17" ht="14.4" x14ac:dyDescent="0.3">
      <c r="C35"/>
      <c r="E35" s="109"/>
      <c r="F35" s="110"/>
      <c r="G35" s="110"/>
      <c r="H35" s="111"/>
    </row>
    <row r="36" spans="2:17" ht="14.4" x14ac:dyDescent="0.3">
      <c r="E36" s="109"/>
      <c r="F36" s="110"/>
      <c r="G36" s="110"/>
      <c r="H36" s="111"/>
      <c r="M36"/>
    </row>
    <row r="37" spans="2:17" x14ac:dyDescent="0.2">
      <c r="E37" s="112"/>
      <c r="F37" s="113"/>
      <c r="G37" s="113"/>
      <c r="H37" s="114"/>
    </row>
    <row r="38" spans="2:17" ht="12" thickBot="1" x14ac:dyDescent="0.25"/>
    <row r="39" spans="2:17" ht="12.6" customHeight="1" thickTop="1" thickBot="1" x14ac:dyDescent="0.25">
      <c r="B39" s="129" t="s">
        <v>68</v>
      </c>
      <c r="C39" s="129"/>
      <c r="D39" s="129"/>
      <c r="E39" s="129"/>
      <c r="F39" s="129"/>
      <c r="G39" s="129"/>
      <c r="H39" s="119"/>
      <c r="I39" s="119"/>
      <c r="J39" s="119"/>
      <c r="K39" s="121"/>
      <c r="L39" s="130"/>
    </row>
    <row r="40" spans="2:17" ht="12.6" customHeight="1" thickTop="1" thickBot="1" x14ac:dyDescent="0.25">
      <c r="B40" s="129"/>
      <c r="C40" s="129"/>
      <c r="D40" s="129"/>
      <c r="E40" s="129"/>
      <c r="F40" s="129"/>
      <c r="G40" s="129"/>
      <c r="H40" s="119"/>
      <c r="I40" s="119"/>
      <c r="J40" s="119"/>
      <c r="K40" s="121"/>
      <c r="L40" s="130"/>
    </row>
    <row r="41" spans="2:17" ht="12.6" customHeight="1" thickTop="1" thickBot="1" x14ac:dyDescent="0.25">
      <c r="B41" s="129"/>
      <c r="C41" s="129"/>
      <c r="D41" s="129"/>
      <c r="E41" s="129"/>
      <c r="F41" s="129"/>
      <c r="G41" s="129"/>
      <c r="H41" s="120"/>
      <c r="I41" s="120"/>
      <c r="J41" s="120"/>
      <c r="K41" s="122"/>
      <c r="L41" s="130"/>
    </row>
    <row r="42" spans="2:17" ht="20.100000000000001" customHeight="1" thickTop="1" x14ac:dyDescent="0.3">
      <c r="B42" s="74" t="s">
        <v>118</v>
      </c>
      <c r="C42" s="74" t="s">
        <v>119</v>
      </c>
      <c r="D42" s="74" t="str">
        <f>+'CMI POIR actualizado'!D68</f>
        <v>Actividad del activo j</v>
      </c>
      <c r="E42" s="74" t="str">
        <f>+'CMI POIR actualizado'!E68</f>
        <v>Identificación del activo</v>
      </c>
      <c r="F42" s="74" t="str">
        <f>+'CMI POIR actualizado'!F68</f>
        <v>Año planeado</v>
      </c>
      <c r="G42" s="74" t="str">
        <f>+'CMI POIR actualizado'!H68</f>
        <v>Vida Útil</v>
      </c>
      <c r="H42" s="75">
        <v>1</v>
      </c>
      <c r="I42" s="76">
        <v>2</v>
      </c>
      <c r="J42" s="75">
        <v>3</v>
      </c>
      <c r="K42" s="99">
        <v>4</v>
      </c>
      <c r="L42" s="101">
        <v>5</v>
      </c>
      <c r="M42"/>
      <c r="N42"/>
      <c r="O42"/>
      <c r="Q42"/>
    </row>
    <row r="43" spans="2:17" ht="12" x14ac:dyDescent="0.2">
      <c r="B43" s="123" t="str">
        <f>+B22</f>
        <v>ACUEDUCTO</v>
      </c>
      <c r="C43" s="126" t="str">
        <f>+C22</f>
        <v>PRODUCCIÓN DE AGUA POTABLE</v>
      </c>
      <c r="D43" s="77" t="str">
        <f>+'CMI POIR actualizado'!D69</f>
        <v>CAPTACIÓN</v>
      </c>
      <c r="E43" s="77" t="str">
        <f>+'CMI POIR actualizado'!E69</f>
        <v>ACTIVO 1</v>
      </c>
      <c r="F43" s="78">
        <f>+'CMI POIR actualizado'!F69</f>
        <v>3</v>
      </c>
      <c r="G43" s="79">
        <f>+'CMI POIR actualizado'!H69</f>
        <v>40</v>
      </c>
      <c r="H43" s="70">
        <f>+S22*'Tablero de Control'!C$35</f>
        <v>24638029.233559746</v>
      </c>
      <c r="I43" s="70">
        <f>+T22*'Tablero de Control'!D$35</f>
        <v>24708355.658767052</v>
      </c>
      <c r="J43" s="70">
        <f>+U22*'Tablero de Control'!E$35</f>
        <v>0</v>
      </c>
      <c r="K43" s="71">
        <f>+V22*'Tablero de Control'!F$35</f>
        <v>0</v>
      </c>
      <c r="L43" s="70">
        <f>+W22*'Tablero de Control'!G$35</f>
        <v>0</v>
      </c>
    </row>
    <row r="44" spans="2:17" ht="12" x14ac:dyDescent="0.2">
      <c r="B44" s="124"/>
      <c r="C44" s="127"/>
      <c r="D44" s="77" t="str">
        <f>+'CMI POIR actualizado'!D70</f>
        <v xml:space="preserve">ADUCCIÓN </v>
      </c>
      <c r="E44" s="77" t="str">
        <f>+'CMI POIR actualizado'!E70</f>
        <v>ACTIVO 2</v>
      </c>
      <c r="F44" s="78">
        <f>+'CMI POIR actualizado'!F70</f>
        <v>5</v>
      </c>
      <c r="G44" s="79">
        <f>+'CMI POIR actualizado'!H70</f>
        <v>40</v>
      </c>
      <c r="H44" s="70">
        <f>+S23*'Tablero de Control'!C$35</f>
        <v>0</v>
      </c>
      <c r="I44" s="70">
        <f>+T23*'Tablero de Control'!D$35</f>
        <v>0</v>
      </c>
      <c r="J44" s="70">
        <f>+U23*'Tablero de Control'!E$35</f>
        <v>0</v>
      </c>
      <c r="K44" s="71">
        <f>+V23*'Tablero de Control'!F$35</f>
        <v>0</v>
      </c>
      <c r="L44" s="70">
        <f>+W23*'Tablero de Control'!G$35</f>
        <v>0</v>
      </c>
    </row>
    <row r="45" spans="2:17" ht="12" x14ac:dyDescent="0.2">
      <c r="B45" s="124"/>
      <c r="C45" s="127"/>
      <c r="D45" s="77" t="str">
        <f>+'CMI POIR actualizado'!D71</f>
        <v>PRETRATAMIENTO</v>
      </c>
      <c r="E45" s="77" t="str">
        <f>+'CMI POIR actualizado'!E71</f>
        <v>ACTIVO 3</v>
      </c>
      <c r="F45" s="78">
        <f>+'CMI POIR actualizado'!F71</f>
        <v>4</v>
      </c>
      <c r="G45" s="79">
        <f>+'CMI POIR actualizado'!H71</f>
        <v>30</v>
      </c>
      <c r="H45" s="70">
        <f>+S24*'Tablero de Control'!C$35</f>
        <v>26254321.974130649</v>
      </c>
      <c r="I45" s="70">
        <f>+T24*'Tablero de Control'!D$35</f>
        <v>26329261.921363413</v>
      </c>
      <c r="J45" s="70">
        <f>+U24*'Tablero de Control'!E$35</f>
        <v>26978684.027579263</v>
      </c>
      <c r="K45" s="71">
        <f>+V24*'Tablero de Control'!F$35</f>
        <v>27788044.548406642</v>
      </c>
      <c r="L45" s="70">
        <f>+W24*'Tablero de Control'!G$35</f>
        <v>28621685.884858843</v>
      </c>
    </row>
    <row r="46" spans="2:17" ht="12" x14ac:dyDescent="0.2">
      <c r="B46" s="125"/>
      <c r="C46" s="128"/>
      <c r="D46" s="77" t="str">
        <f>+'CMI POIR actualizado'!D72</f>
        <v>TRATAMIENTO</v>
      </c>
      <c r="E46" s="77" t="str">
        <f>+'CMI POIR actualizado'!E72</f>
        <v>ACTIVO 4*</v>
      </c>
      <c r="F46" s="78">
        <f>+'CMI POIR actualizado'!F72</f>
        <v>3</v>
      </c>
      <c r="G46" s="79">
        <f>+'CMI POIR actualizado'!H72</f>
        <v>40</v>
      </c>
      <c r="H46" s="70">
        <f>+S25*'Tablero de Control'!C$35</f>
        <v>0</v>
      </c>
      <c r="I46" s="70">
        <f>+T25*'Tablero de Control'!D$35</f>
        <v>0</v>
      </c>
      <c r="J46" s="70">
        <f>+U25*'Tablero de Control'!E$35</f>
        <v>0</v>
      </c>
      <c r="K46" s="71">
        <f>+V25*'Tablero de Control'!F$35</f>
        <v>0</v>
      </c>
      <c r="L46" s="70">
        <f>+W25*'Tablero de Control'!G$35</f>
        <v>0</v>
      </c>
    </row>
    <row r="47" spans="2:17" ht="12" x14ac:dyDescent="0.2">
      <c r="B47" s="77" t="str">
        <f>+B26</f>
        <v>ACUEDUCTO</v>
      </c>
      <c r="C47" s="94" t="str">
        <f>+C26</f>
        <v>TRANSPORTE DE AGUA POTABLE</v>
      </c>
      <c r="D47" s="77" t="str">
        <f>+'CMI POIR actualizado'!D73</f>
        <v xml:space="preserve">CONDUCCIÓN </v>
      </c>
      <c r="E47" s="77" t="str">
        <f>+'CMI POIR actualizado'!E73</f>
        <v>ACTIVO 5</v>
      </c>
      <c r="F47" s="78">
        <f>+'CMI POIR actualizado'!F73</f>
        <v>2</v>
      </c>
      <c r="G47" s="79">
        <f>+'CMI POIR actualizado'!H73</f>
        <v>40</v>
      </c>
      <c r="H47" s="70">
        <f>+S26*'Tablero de Control'!C$35</f>
        <v>179479648.492681</v>
      </c>
      <c r="I47" s="70">
        <f>+T26*'Tablero de Control'!D$35</f>
        <v>179991952.5392547</v>
      </c>
      <c r="J47" s="70">
        <f>+U26*'Tablero de Control'!E$35</f>
        <v>184431528.29603282</v>
      </c>
      <c r="K47" s="71">
        <f>+V26*'Tablero de Control'!F$35</f>
        <v>189964474.14491382</v>
      </c>
      <c r="L47" s="70">
        <f>+W26*'Tablero de Control'!G$35</f>
        <v>195663408.36926126</v>
      </c>
    </row>
    <row r="48" spans="2:17" ht="21" customHeight="1" x14ac:dyDescent="0.25">
      <c r="B48" s="131" t="s">
        <v>140</v>
      </c>
      <c r="C48" s="132"/>
      <c r="D48" s="132"/>
      <c r="E48" s="132"/>
      <c r="F48" s="132"/>
      <c r="G48" s="133"/>
      <c r="H48" s="98">
        <f>SUM(H43:H47)</f>
        <v>230371999.70037138</v>
      </c>
      <c r="I48" s="98">
        <f t="shared" ref="I48:L48" si="0">SUM(I43:I47)</f>
        <v>231029570.11938515</v>
      </c>
      <c r="J48" s="98">
        <f t="shared" si="0"/>
        <v>211410212.32361209</v>
      </c>
      <c r="K48" s="100">
        <f t="shared" si="0"/>
        <v>217752518.69332045</v>
      </c>
      <c r="L48" s="98">
        <f t="shared" si="0"/>
        <v>224285094.25412011</v>
      </c>
    </row>
    <row r="49" spans="2:14" ht="22.8" x14ac:dyDescent="0.2">
      <c r="B49" s="77" t="str">
        <f t="shared" ref="B49:C50" si="1">+B27</f>
        <v>ALCANTARILLADO</v>
      </c>
      <c r="C49" s="94" t="str">
        <f t="shared" si="1"/>
        <v>RECOLECCIÓN Y TRANSPORTE DE AGUAS RESIDUALES</v>
      </c>
      <c r="D49" s="77" t="str">
        <f>+'CMI POIR actualizado'!D74</f>
        <v>ELEVACIÓN Y BOMBEO</v>
      </c>
      <c r="E49" s="77" t="str">
        <f>+'CMI POIR actualizado'!E74</f>
        <v>ACTIVO 6</v>
      </c>
      <c r="F49" s="78">
        <f>+'CMI POIR actualizado'!F74</f>
        <v>2</v>
      </c>
      <c r="G49" s="79">
        <f>+'CMI POIR actualizado'!H74</f>
        <v>35</v>
      </c>
      <c r="H49" s="70">
        <f>+S27*'Tablero de Control'!C$35</f>
        <v>-228063519.09646636</v>
      </c>
      <c r="I49" s="70">
        <f>+T27*'Tablero de Control'!D$35</f>
        <v>-228714500.22268426</v>
      </c>
      <c r="J49" s="70">
        <f>+U27*'Tablero de Control'!E$35</f>
        <v>-234355837.71631917</v>
      </c>
      <c r="K49" s="71">
        <f>+V27*'Tablero de Control'!F$35</f>
        <v>-241386512.84780878</v>
      </c>
      <c r="L49" s="70">
        <f>+W27*'Tablero de Control'!G$35</f>
        <v>-248628108.23324305</v>
      </c>
    </row>
    <row r="50" spans="2:14" ht="22.8" x14ac:dyDescent="0.2">
      <c r="B50" s="77" t="str">
        <f t="shared" si="1"/>
        <v>ALCANTARILLADO</v>
      </c>
      <c r="C50" s="94" t="str">
        <f t="shared" si="1"/>
        <v>TRATAMIENTO Y/O DISPOSICIÓN FINAL DE AGUAS RESIDUALES</v>
      </c>
      <c r="D50" s="77" t="str">
        <f>+'CMI POIR actualizado'!D75</f>
        <v>DISPOSICIÓN FINAL</v>
      </c>
      <c r="E50" s="77" t="str">
        <f>+'CMI POIR actualizado'!E75</f>
        <v>ACTIVO 7</v>
      </c>
      <c r="F50" s="78">
        <f>+'CMI POIR actualizado'!F75</f>
        <v>8</v>
      </c>
      <c r="G50" s="79">
        <f>+'CMI POIR actualizado'!H75</f>
        <v>30</v>
      </c>
      <c r="H50" s="70">
        <f>+S28*'Tablero de Control'!C$35</f>
        <v>-97304466.251265511</v>
      </c>
      <c r="I50" s="70">
        <f>+T28*'Tablero de Control'!D$35</f>
        <v>-97582210.676490694</v>
      </c>
      <c r="J50" s="70">
        <f>+U28*'Tablero de Control'!E$35</f>
        <v>-99989116.155876949</v>
      </c>
      <c r="K50" s="71">
        <f>+V28*'Tablero de Control'!F$35</f>
        <v>-102988789.64055327</v>
      </c>
      <c r="L50" s="70">
        <f>+W28*'Tablero de Control'!G$35</f>
        <v>-106078453.32976986</v>
      </c>
    </row>
    <row r="51" spans="2:14" ht="18" customHeight="1" x14ac:dyDescent="0.3">
      <c r="B51" s="131" t="s">
        <v>141</v>
      </c>
      <c r="C51" s="132"/>
      <c r="D51" s="132"/>
      <c r="E51" s="132"/>
      <c r="F51" s="132"/>
      <c r="G51" s="133"/>
      <c r="H51" s="98">
        <f>SUM(H49:H50)</f>
        <v>-325367985.34773189</v>
      </c>
      <c r="I51" s="98">
        <f t="shared" ref="I51:L51" si="2">SUM(I49:I50)</f>
        <v>-326296710.89917493</v>
      </c>
      <c r="J51" s="98">
        <f t="shared" si="2"/>
        <v>-334344953.87219614</v>
      </c>
      <c r="K51" s="100">
        <f t="shared" si="2"/>
        <v>-344375302.48836207</v>
      </c>
      <c r="L51" s="98">
        <f t="shared" si="2"/>
        <v>-354706561.5630129</v>
      </c>
      <c r="M51"/>
      <c r="N51"/>
    </row>
    <row r="52" spans="2:14" x14ac:dyDescent="0.2">
      <c r="G52" s="97"/>
      <c r="H52" s="96"/>
      <c r="I52" s="96"/>
      <c r="J52" s="96"/>
      <c r="K52" s="96"/>
      <c r="L52" s="96"/>
    </row>
    <row r="53" spans="2:14" ht="20.399999999999999" customHeight="1" x14ac:dyDescent="0.2">
      <c r="B53" s="115" t="s">
        <v>101</v>
      </c>
      <c r="C53" s="115"/>
      <c r="D53" s="115"/>
      <c r="E53" s="115"/>
      <c r="F53" s="115"/>
      <c r="G53" s="115"/>
      <c r="H53" s="115"/>
      <c r="I53" s="115"/>
      <c r="J53" s="115"/>
      <c r="K53" s="115"/>
    </row>
    <row r="54" spans="2:14" ht="21.6" customHeight="1" thickBot="1" x14ac:dyDescent="0.25">
      <c r="B54" s="116"/>
      <c r="C54" s="116"/>
      <c r="D54" s="116"/>
      <c r="E54" s="116"/>
      <c r="F54" s="116"/>
      <c r="G54" s="116"/>
      <c r="H54" s="116"/>
      <c r="I54" s="116"/>
      <c r="J54" s="116"/>
      <c r="K54" s="116"/>
    </row>
    <row r="55" spans="2:14" ht="12" thickTop="1" x14ac:dyDescent="0.2"/>
    <row r="56" spans="2:14" x14ac:dyDescent="0.2">
      <c r="E56" s="106"/>
      <c r="F56" s="107"/>
      <c r="G56" s="107"/>
      <c r="H56" s="108"/>
    </row>
    <row r="57" spans="2:14" x14ac:dyDescent="0.2">
      <c r="E57" s="109"/>
      <c r="F57" s="110"/>
      <c r="G57" s="110"/>
      <c r="H57" s="111"/>
    </row>
    <row r="58" spans="2:14" x14ac:dyDescent="0.2">
      <c r="E58" s="109"/>
      <c r="F58" s="110"/>
      <c r="G58" s="110"/>
      <c r="H58" s="111"/>
    </row>
    <row r="59" spans="2:14" x14ac:dyDescent="0.2">
      <c r="E59" s="112"/>
      <c r="F59" s="113"/>
      <c r="G59" s="113"/>
      <c r="H59" s="114"/>
    </row>
    <row r="60" spans="2:14" ht="12" thickBot="1" x14ac:dyDescent="0.25"/>
    <row r="61" spans="2:14" ht="12.6" thickBot="1" x14ac:dyDescent="0.3">
      <c r="C61" s="82">
        <v>5</v>
      </c>
      <c r="D61" s="82">
        <v>5</v>
      </c>
    </row>
    <row r="62" spans="2:14" ht="12" thickTop="1" x14ac:dyDescent="0.2">
      <c r="B62" s="83" t="str">
        <f>+'CMI POIR actualizado'!B13</f>
        <v>SERVICIO</v>
      </c>
      <c r="C62" s="84"/>
      <c r="D62" s="84"/>
    </row>
    <row r="63" spans="2:14" x14ac:dyDescent="0.2">
      <c r="B63" s="77" t="str">
        <f>+B43</f>
        <v>ACUEDUCTO</v>
      </c>
      <c r="C63" s="85">
        <f>NPV('CMI POIR ejecutado'!$C$8,H48:L48)</f>
        <v>800485761.18544614</v>
      </c>
      <c r="D63" s="85">
        <f>+IFERROR(IF(C63&lt;0,'Tablero de Control'!$C$14,C63*((1+'CMI POIR ejecutado'!$C$8)^D$61)*('Índices de Actualización'!$H$15/'Índices de Actualización'!$B$17)),"")</f>
        <v>1822674874.4031868</v>
      </c>
      <c r="E63" s="97"/>
    </row>
    <row r="64" spans="2:14" ht="12" thickBot="1" x14ac:dyDescent="0.25">
      <c r="B64" s="77" t="str">
        <f>+B49</f>
        <v>ALCANTARILLADO</v>
      </c>
      <c r="C64" s="86">
        <f>NPV('CMI POIR ejecutado'!$C$8,H51:L51)</f>
        <v>-1200267522.7325151</v>
      </c>
      <c r="D64" s="85">
        <f>+IFERROR(IF(C64&lt;0,'Tablero de Control'!$C$14,C64*((1+'CMI POIR ejecutado'!$C$8)^D$61)*('Índices de Actualización'!$H$15/'Índices de Actualización'!$B$17)),"")</f>
        <v>0</v>
      </c>
    </row>
    <row r="65" spans="2:5" ht="12.6" thickBot="1" x14ac:dyDescent="0.3">
      <c r="B65" s="117"/>
      <c r="C65" s="118"/>
      <c r="D65" s="81">
        <f>+SUM(D63:D64)</f>
        <v>1822674874.4031868</v>
      </c>
    </row>
    <row r="66" spans="2:5" ht="14.4" x14ac:dyDescent="0.3">
      <c r="E66"/>
    </row>
    <row r="67" spans="2:5" ht="14.4" x14ac:dyDescent="0.3">
      <c r="E67"/>
    </row>
    <row r="68" spans="2:5" ht="14.4" x14ac:dyDescent="0.3">
      <c r="E68"/>
    </row>
  </sheetData>
  <sheetProtection algorithmName="SHA-512" hashValue="OSOM40G9JWhCpRy12mE4HcNb3VAmRlBo9ShPFXXJ0K5jBQhqpA7J4WeA+I1FYh/p2h019w4hNa0FjrevgAbAEA==" saltValue="sEAbUwhsRVLO6WMiIY7FUw==" spinCount="100000" sheet="1" objects="1" scenarios="1"/>
  <mergeCells count="35">
    <mergeCell ref="B31:M32"/>
    <mergeCell ref="K18:K21"/>
    <mergeCell ref="B22:B25"/>
    <mergeCell ref="J18:J21"/>
    <mergeCell ref="B14:B15"/>
    <mergeCell ref="C14:C15"/>
    <mergeCell ref="C22:C25"/>
    <mergeCell ref="B18:G20"/>
    <mergeCell ref="L39:L41"/>
    <mergeCell ref="B48:G48"/>
    <mergeCell ref="B51:G51"/>
    <mergeCell ref="B2:AW6"/>
    <mergeCell ref="B9:O11"/>
    <mergeCell ref="U18:U20"/>
    <mergeCell ref="E13:H16"/>
    <mergeCell ref="R18:R20"/>
    <mergeCell ref="S18:S20"/>
    <mergeCell ref="T18:T20"/>
    <mergeCell ref="N18:O20"/>
    <mergeCell ref="P18:Q20"/>
    <mergeCell ref="L18:M20"/>
    <mergeCell ref="V18:V20"/>
    <mergeCell ref="W18:W20"/>
    <mergeCell ref="H18:I20"/>
    <mergeCell ref="E56:H59"/>
    <mergeCell ref="B53:K54"/>
    <mergeCell ref="B65:C65"/>
    <mergeCell ref="E34:H37"/>
    <mergeCell ref="H39:H41"/>
    <mergeCell ref="I39:I41"/>
    <mergeCell ref="J39:J41"/>
    <mergeCell ref="K39:K41"/>
    <mergeCell ref="B43:B46"/>
    <mergeCell ref="C43:C46"/>
    <mergeCell ref="B39:G41"/>
  </mergeCells>
  <dataValidations count="1">
    <dataValidation type="list" allowBlank="1" showInputMessage="1" showErrorMessage="1" sqref="K22:K28" xr:uid="{00000000-0002-0000-0400-000000000000}">
      <formula1>"Sí,No"</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6"/>
  <sheetViews>
    <sheetView showGridLines="0" workbookViewId="0">
      <selection activeCell="J4" sqref="J4"/>
    </sheetView>
  </sheetViews>
  <sheetFormatPr baseColWidth="10" defaultRowHeight="14.4" x14ac:dyDescent="0.3"/>
  <sheetData>
    <row r="1" spans="1:50" ht="45" customHeight="1" thickBot="1" x14ac:dyDescent="0.35">
      <c r="A1" s="155" t="s">
        <v>77</v>
      </c>
      <c r="B1" s="156"/>
      <c r="C1" s="156"/>
      <c r="D1" s="156"/>
      <c r="E1" s="156"/>
      <c r="F1" s="156"/>
      <c r="G1" s="156"/>
      <c r="H1" s="157"/>
      <c r="AA1" s="42"/>
      <c r="AB1" s="42"/>
      <c r="AC1" s="42"/>
      <c r="AD1" s="42"/>
      <c r="AE1" s="42"/>
      <c r="AF1" s="42"/>
      <c r="AG1" s="42"/>
      <c r="AH1" s="42"/>
      <c r="AI1" s="42"/>
      <c r="AJ1" s="42"/>
      <c r="AK1" s="42"/>
      <c r="AL1" s="42"/>
      <c r="AM1" s="42"/>
      <c r="AN1" s="42"/>
      <c r="AO1" s="42"/>
      <c r="AP1" s="42"/>
      <c r="AQ1" s="42"/>
      <c r="AR1" s="42"/>
      <c r="AS1" s="42"/>
      <c r="AT1" s="42"/>
      <c r="AU1" s="42"/>
      <c r="AV1" s="42"/>
      <c r="AW1" s="42"/>
      <c r="AX1" s="43"/>
    </row>
    <row r="2" spans="1:50" ht="15" thickBot="1" x14ac:dyDescent="0.35">
      <c r="A2" s="44"/>
      <c r="B2" s="44"/>
      <c r="C2" s="44"/>
      <c r="D2" s="44"/>
      <c r="E2" s="44"/>
      <c r="F2" s="44"/>
      <c r="G2" s="44"/>
      <c r="H2" s="44"/>
      <c r="AA2" s="44"/>
      <c r="AB2" s="44"/>
      <c r="AC2" s="44"/>
      <c r="AD2" s="44"/>
      <c r="AE2" s="44"/>
      <c r="AF2" s="44"/>
      <c r="AG2" s="44"/>
      <c r="AH2" s="44"/>
      <c r="AI2" s="44"/>
      <c r="AJ2" s="44"/>
      <c r="AK2" s="44"/>
      <c r="AL2" s="44"/>
      <c r="AM2" s="44"/>
      <c r="AN2" s="44"/>
      <c r="AO2" s="44"/>
      <c r="AP2" s="44"/>
      <c r="AQ2" s="44"/>
      <c r="AR2" s="44"/>
      <c r="AS2" s="44"/>
      <c r="AT2" s="44"/>
      <c r="AU2" s="44"/>
      <c r="AV2" s="43"/>
      <c r="AW2" s="43"/>
      <c r="AX2" s="43"/>
    </row>
    <row r="3" spans="1:50" ht="15" thickBot="1" x14ac:dyDescent="0.35">
      <c r="A3" s="152" t="s">
        <v>78</v>
      </c>
      <c r="B3" s="153"/>
      <c r="C3" s="153"/>
      <c r="D3" s="153"/>
      <c r="E3" s="153"/>
      <c r="F3" s="153"/>
      <c r="G3" s="153"/>
      <c r="H3" s="154"/>
      <c r="AA3" s="45"/>
      <c r="AB3" s="45"/>
      <c r="AC3" s="45"/>
    </row>
    <row r="4" spans="1:50" ht="15" thickBot="1" x14ac:dyDescent="0.35">
      <c r="A4" s="46"/>
      <c r="B4" s="42"/>
      <c r="C4" s="42"/>
      <c r="D4" s="42"/>
      <c r="E4" s="42"/>
      <c r="F4" s="42"/>
      <c r="G4" s="42"/>
      <c r="H4" s="42"/>
      <c r="AA4" s="47"/>
      <c r="AB4" s="47"/>
      <c r="AC4" s="47"/>
      <c r="AD4" s="47"/>
      <c r="AE4" s="47"/>
      <c r="AF4" s="47"/>
      <c r="AG4" s="47"/>
      <c r="AH4" s="47"/>
      <c r="AI4" s="47"/>
      <c r="AJ4" s="47"/>
      <c r="AK4" s="47"/>
      <c r="AL4" s="47"/>
      <c r="AM4" s="45"/>
      <c r="AN4" s="47"/>
      <c r="AO4" s="47"/>
      <c r="AP4" s="47"/>
      <c r="AQ4" s="47"/>
      <c r="AR4" s="47"/>
      <c r="AS4" s="47"/>
      <c r="AT4" s="47"/>
      <c r="AU4" s="47"/>
      <c r="AV4" s="43"/>
      <c r="AW4" s="43"/>
      <c r="AX4" s="43"/>
    </row>
    <row r="5" spans="1:50" ht="15" thickBot="1" x14ac:dyDescent="0.35">
      <c r="A5" s="48" t="s">
        <v>79</v>
      </c>
      <c r="B5" s="49" t="s">
        <v>80</v>
      </c>
      <c r="C5" s="49" t="s">
        <v>81</v>
      </c>
      <c r="D5" s="50" t="s">
        <v>82</v>
      </c>
      <c r="E5" s="51" t="s">
        <v>83</v>
      </c>
      <c r="F5" s="52" t="s">
        <v>84</v>
      </c>
      <c r="G5" s="52" t="s">
        <v>85</v>
      </c>
      <c r="H5" s="53" t="s">
        <v>86</v>
      </c>
    </row>
    <row r="6" spans="1:50" x14ac:dyDescent="0.3">
      <c r="A6" s="54" t="s">
        <v>87</v>
      </c>
      <c r="B6" s="55">
        <f>+'[1]Índices Base'!M11</f>
        <v>79.95</v>
      </c>
      <c r="C6" s="55">
        <f>+'[1]Índices Base'!N11</f>
        <v>83</v>
      </c>
      <c r="D6" s="55">
        <f>+'[1]Índices Base'!O11</f>
        <v>89.19</v>
      </c>
      <c r="E6" s="55">
        <f>+'[1]Índices Base'!P11</f>
        <v>94.07</v>
      </c>
      <c r="F6" s="56">
        <f>+'[1]Índices Base'!Q11</f>
        <v>97.53</v>
      </c>
      <c r="G6" s="56">
        <f>+'[1]Índices Base'!R11</f>
        <v>100.6</v>
      </c>
      <c r="H6" s="57">
        <f>+'[1]Índices Base'!S11</f>
        <v>104.24</v>
      </c>
      <c r="AA6" s="47"/>
      <c r="AB6" s="47"/>
    </row>
    <row r="7" spans="1:50" x14ac:dyDescent="0.3">
      <c r="A7" s="61" t="s">
        <v>88</v>
      </c>
      <c r="B7" s="59">
        <f>+'[1]Índices Base'!M12</f>
        <v>80.45</v>
      </c>
      <c r="C7" s="59">
        <f>+'[1]Índices Base'!N12</f>
        <v>83.96</v>
      </c>
      <c r="D7" s="59">
        <f>+'[1]Índices Base'!O12</f>
        <v>90.33</v>
      </c>
      <c r="E7" s="59">
        <f>+'[1]Índices Base'!P12</f>
        <v>95.01</v>
      </c>
      <c r="F7" s="59">
        <f>+'[1]Índices Base'!Q12</f>
        <v>98.22</v>
      </c>
      <c r="G7" s="59">
        <f>+'[1]Índices Base'!R12</f>
        <v>101.18</v>
      </c>
      <c r="H7" s="62">
        <f>+'[1]Índices Base'!S12</f>
        <v>104.94</v>
      </c>
      <c r="AA7" s="47"/>
      <c r="AB7" s="47"/>
    </row>
    <row r="8" spans="1:50" x14ac:dyDescent="0.3">
      <c r="A8" s="61" t="s">
        <v>89</v>
      </c>
      <c r="B8" s="59">
        <f>+'[1]Índices Base'!M13</f>
        <v>80.77</v>
      </c>
      <c r="C8" s="59">
        <f>+'[1]Índices Base'!N13</f>
        <v>84.45</v>
      </c>
      <c r="D8" s="59">
        <f>+'[1]Índices Base'!O13</f>
        <v>91.18</v>
      </c>
      <c r="E8" s="59">
        <f>+'[1]Índices Base'!P13</f>
        <v>95.46</v>
      </c>
      <c r="F8" s="59">
        <f>+'[1]Índices Base'!Q13</f>
        <v>98.45</v>
      </c>
      <c r="G8" s="59">
        <f>+'[1]Índices Base'!R13</f>
        <v>101.62</v>
      </c>
      <c r="H8" s="62">
        <f>+'[1]Índices Base'!S13</f>
        <v>105.53</v>
      </c>
      <c r="AA8" s="63"/>
    </row>
    <row r="9" spans="1:50" x14ac:dyDescent="0.3">
      <c r="A9" s="61" t="s">
        <v>90</v>
      </c>
      <c r="B9" s="59">
        <f>+'[1]Índices Base'!M14</f>
        <v>81.14</v>
      </c>
      <c r="C9" s="59">
        <f>+'[1]Índices Base'!N14</f>
        <v>84.9</v>
      </c>
      <c r="D9" s="59">
        <f>+'[1]Índices Base'!O14</f>
        <v>91.63</v>
      </c>
      <c r="E9" s="59">
        <f>+'[1]Índices Base'!P14</f>
        <v>95.91</v>
      </c>
      <c r="F9" s="59">
        <f>+'[1]Índices Base'!Q14</f>
        <v>98.91</v>
      </c>
      <c r="G9" s="59">
        <f>+'[1]Índices Base'!R14</f>
        <v>102.12</v>
      </c>
      <c r="H9" s="62">
        <f>+'[1]Índices Base'!S14</f>
        <v>105.7</v>
      </c>
    </row>
    <row r="10" spans="1:50" x14ac:dyDescent="0.3">
      <c r="A10" s="61" t="s">
        <v>91</v>
      </c>
      <c r="B10" s="59">
        <f>+'[1]Índices Base'!M15</f>
        <v>81.53</v>
      </c>
      <c r="C10" s="59">
        <f>+'[1]Índices Base'!N15</f>
        <v>85.12</v>
      </c>
      <c r="D10" s="59">
        <f>+'[1]Índices Base'!O15</f>
        <v>92.1</v>
      </c>
      <c r="E10" s="59">
        <f>+'[1]Índices Base'!P15</f>
        <v>96.12</v>
      </c>
      <c r="F10" s="59">
        <f>+'[1]Índices Base'!Q15</f>
        <v>99.16</v>
      </c>
      <c r="G10" s="59">
        <f>+'[1]Índices Base'!R15</f>
        <v>102.44</v>
      </c>
      <c r="H10" s="62">
        <f>+'[1]Índices Base'!S15</f>
        <v>105.36</v>
      </c>
      <c r="AB10" s="65"/>
    </row>
    <row r="11" spans="1:50" x14ac:dyDescent="0.3">
      <c r="A11" s="61" t="s">
        <v>92</v>
      </c>
      <c r="B11" s="59">
        <f>+'[1]Índices Base'!M16</f>
        <v>81.61</v>
      </c>
      <c r="C11" s="59">
        <f>+'[1]Índices Base'!N16</f>
        <v>85.21</v>
      </c>
      <c r="D11" s="59">
        <f>+'[1]Índices Base'!O16</f>
        <v>92.54</v>
      </c>
      <c r="E11" s="59">
        <f>+'[1]Índices Base'!P16</f>
        <v>96.23</v>
      </c>
      <c r="F11" s="59">
        <f>+'[1]Índices Base'!Q16</f>
        <v>99.31</v>
      </c>
      <c r="G11" s="59">
        <f>+'[1]Índices Base'!R16</f>
        <v>102.71</v>
      </c>
      <c r="H11" s="62">
        <f>+'[1]Índices Base'!S16</f>
        <v>104.97</v>
      </c>
    </row>
    <row r="12" spans="1:50" x14ac:dyDescent="0.3">
      <c r="A12" s="61" t="s">
        <v>93</v>
      </c>
      <c r="B12" s="59">
        <f>+'[1]Índices Base'!M17</f>
        <v>81.73</v>
      </c>
      <c r="C12" s="59">
        <f>+'[1]Índices Base'!N17</f>
        <v>85.37</v>
      </c>
      <c r="D12" s="59">
        <f>+'[1]Índices Base'!O17</f>
        <v>93.02</v>
      </c>
      <c r="E12" s="59">
        <f>+'[1]Índices Base'!P17</f>
        <v>96.18</v>
      </c>
      <c r="F12" s="59">
        <f>+'[1]Índices Base'!Q17</f>
        <v>99.18</v>
      </c>
      <c r="G12" s="59">
        <f>+'[1]Índices Base'!R17</f>
        <v>102.94</v>
      </c>
      <c r="H12" s="62">
        <f>+'[1]Índices Base'!S17</f>
        <v>104.97</v>
      </c>
    </row>
    <row r="13" spans="1:50" x14ac:dyDescent="0.3">
      <c r="A13" s="61" t="s">
        <v>94</v>
      </c>
      <c r="B13" s="59">
        <f>+'[1]Índices Base'!M18</f>
        <v>81.900000000000006</v>
      </c>
      <c r="C13" s="59">
        <f>+'[1]Índices Base'!N18</f>
        <v>85.78</v>
      </c>
      <c r="D13" s="59">
        <f>+'[1]Índices Base'!O18</f>
        <v>92.73</v>
      </c>
      <c r="E13" s="59">
        <f>+'[1]Índices Base'!P18</f>
        <v>96.32</v>
      </c>
      <c r="F13" s="59">
        <f>+'[1]Índices Base'!Q18</f>
        <v>99.3</v>
      </c>
      <c r="G13" s="59">
        <f>+'[1]Índices Base'!R18</f>
        <v>103.03</v>
      </c>
      <c r="H13" s="62">
        <f>+'[1]Índices Base'!S18</f>
        <v>104.96</v>
      </c>
    </row>
    <row r="14" spans="1:50" x14ac:dyDescent="0.3">
      <c r="A14" s="61" t="s">
        <v>95</v>
      </c>
      <c r="B14" s="59">
        <f>+'[1]Índices Base'!M19</f>
        <v>82.01</v>
      </c>
      <c r="C14" s="59">
        <f>+'[1]Índices Base'!N19</f>
        <v>86.39</v>
      </c>
      <c r="D14" s="59">
        <f>+'[1]Índices Base'!O19</f>
        <v>92.68</v>
      </c>
      <c r="E14" s="59">
        <f>+'[1]Índices Base'!P19</f>
        <v>96.36</v>
      </c>
      <c r="F14" s="59">
        <f>+'[1]Índices Base'!Q19</f>
        <v>99.47</v>
      </c>
      <c r="G14" s="59">
        <f>+'[1]Índices Base'!R19</f>
        <v>103.26</v>
      </c>
      <c r="H14" s="62">
        <f>+'[1]Índices Base'!S19</f>
        <v>105.29</v>
      </c>
    </row>
    <row r="15" spans="1:50" x14ac:dyDescent="0.3">
      <c r="A15" s="61" t="s">
        <v>96</v>
      </c>
      <c r="B15" s="59">
        <f>+'[1]Índices Base'!M20</f>
        <v>82.14</v>
      </c>
      <c r="C15" s="59">
        <f>+'[1]Índices Base'!N20</f>
        <v>86.98</v>
      </c>
      <c r="D15" s="59">
        <f>+'[1]Índices Base'!O20</f>
        <v>92.62</v>
      </c>
      <c r="E15" s="59">
        <f>+'[1]Índices Base'!P20</f>
        <v>96.37</v>
      </c>
      <c r="F15" s="59">
        <f>+'[1]Índices Base'!Q20</f>
        <v>99.59</v>
      </c>
      <c r="G15" s="59">
        <f>+'[1]Índices Base'!R20</f>
        <v>103.43</v>
      </c>
      <c r="H15" s="62">
        <f>+'[1]Índices Base'!S20</f>
        <v>105.23</v>
      </c>
    </row>
    <row r="16" spans="1:50" ht="15" thickBot="1" x14ac:dyDescent="0.35">
      <c r="A16" s="61" t="s">
        <v>97</v>
      </c>
      <c r="B16" s="59">
        <f>+'[1]Índices Base'!M21</f>
        <v>82.25</v>
      </c>
      <c r="C16" s="59">
        <f>+'[1]Índices Base'!N21</f>
        <v>87.51</v>
      </c>
      <c r="D16" s="59">
        <f>+'[1]Índices Base'!O21</f>
        <v>92.73</v>
      </c>
      <c r="E16" s="59">
        <f>+'[1]Índices Base'!P21</f>
        <v>96.55</v>
      </c>
      <c r="F16" s="60">
        <f>+'[1]Índices Base'!Q21</f>
        <v>99.7</v>
      </c>
      <c r="G16" s="59">
        <f>+'[1]Índices Base'!R21</f>
        <v>103.54</v>
      </c>
      <c r="H16" s="62">
        <f>+'[1]Índices Base'!S21</f>
        <v>105.08</v>
      </c>
    </row>
    <row r="17" spans="1:50" ht="15" thickBot="1" x14ac:dyDescent="0.35">
      <c r="A17" s="66" t="s">
        <v>98</v>
      </c>
      <c r="B17" s="67">
        <f>+'[1]Índices Base'!M22</f>
        <v>82.47</v>
      </c>
      <c r="C17" s="67">
        <f>+'[1]Índices Base'!N22</f>
        <v>88.05</v>
      </c>
      <c r="D17" s="67">
        <f>+'[1]Índices Base'!O22</f>
        <v>93.11</v>
      </c>
      <c r="E17" s="67">
        <f>+'[1]Índices Base'!P22</f>
        <v>96.92</v>
      </c>
      <c r="F17" s="68">
        <f>+'[1]Índices Base'!Q22</f>
        <v>100</v>
      </c>
      <c r="G17" s="67">
        <f>+'[1]Índices Base'!R22</f>
        <v>103.8</v>
      </c>
      <c r="H17" s="64">
        <f>+'[1]Índices Base'!S22</f>
        <v>105.48</v>
      </c>
    </row>
    <row r="18" spans="1:50" x14ac:dyDescent="0.3">
      <c r="A18" s="69"/>
      <c r="B18" s="58"/>
      <c r="C18" s="58"/>
      <c r="D18" s="58"/>
      <c r="E18" s="58"/>
      <c r="F18" s="58"/>
      <c r="G18" s="58"/>
      <c r="H18" s="58"/>
      <c r="AA18" s="47"/>
      <c r="AB18" s="47"/>
      <c r="AC18" s="47"/>
      <c r="AD18" s="47"/>
      <c r="AE18" s="47"/>
      <c r="AF18" s="47"/>
      <c r="AG18" s="47"/>
      <c r="AH18" s="47"/>
      <c r="AI18" s="47"/>
      <c r="AJ18" s="47"/>
      <c r="AK18" s="47"/>
      <c r="AL18" s="47"/>
      <c r="AM18" s="47"/>
      <c r="AN18" s="47"/>
      <c r="AO18" s="47"/>
      <c r="AP18" s="47"/>
      <c r="AQ18" s="47"/>
      <c r="AR18" s="47"/>
      <c r="AS18" s="47"/>
      <c r="AT18" s="47"/>
      <c r="AU18" s="47"/>
      <c r="AV18" s="43"/>
      <c r="AW18" s="43"/>
      <c r="AX18" s="43"/>
    </row>
    <row r="19" spans="1:50" ht="15" customHeight="1" x14ac:dyDescent="0.3">
      <c r="AA19" s="47"/>
      <c r="AB19" s="47"/>
      <c r="AC19" s="47"/>
    </row>
    <row r="20" spans="1:50" x14ac:dyDescent="0.3">
      <c r="AA20" s="47"/>
      <c r="AB20" s="47"/>
      <c r="AC20" s="47"/>
      <c r="AD20" s="47"/>
    </row>
    <row r="35" spans="23:50" x14ac:dyDescent="0.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row>
    <row r="36" spans="23:50" x14ac:dyDescent="0.3">
      <c r="W36" s="43"/>
    </row>
  </sheetData>
  <sheetProtection algorithmName="SHA-512" hashValue="Y4Ydlv1tjlMlWV7fzYTxVA7Xv9BfOPEhdct1GqRL5m1y0TU8k0t6iYKJ6s6fqYQb7ug2wGK6RaaZUOKb99mrgw==" saltValue="XJPqw9yiVC4BNf6YaiRxcA==" spinCount="100000" sheet="1" objects="1" scenarios="1"/>
  <mergeCells count="2">
    <mergeCell ref="A3:H3"/>
    <mergeCell ref="A1:H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80"/>
  <sheetViews>
    <sheetView zoomScaleNormal="100" workbookViewId="0">
      <selection activeCell="G79" sqref="G79:I80"/>
    </sheetView>
  </sheetViews>
  <sheetFormatPr baseColWidth="10" defaultColWidth="11.44140625" defaultRowHeight="13.2" x14ac:dyDescent="0.25"/>
  <cols>
    <col min="1" max="1" width="11.44140625" style="2"/>
    <col min="2" max="2" width="13.88671875" style="2" bestFit="1" customWidth="1"/>
    <col min="3" max="4" width="11.5546875" style="2" bestFit="1" customWidth="1"/>
    <col min="5" max="5" width="16.88671875" style="2" bestFit="1" customWidth="1"/>
    <col min="6" max="6" width="14.88671875" style="2" customWidth="1"/>
    <col min="7" max="7" width="18.88671875" style="2" bestFit="1" customWidth="1"/>
    <col min="8" max="8" width="20" style="2" bestFit="1" customWidth="1"/>
    <col min="9" max="17" width="16.5546875" style="2" customWidth="1"/>
    <col min="18" max="19" width="12.5546875" style="2" bestFit="1" customWidth="1"/>
    <col min="20" max="28" width="14.88671875" style="2" bestFit="1" customWidth="1"/>
    <col min="29" max="30" width="11.44140625" style="2"/>
    <col min="31" max="39" width="13.44140625" style="2" bestFit="1" customWidth="1"/>
    <col min="40" max="42" width="8.88671875" style="2" bestFit="1" customWidth="1"/>
    <col min="43" max="50" width="14.88671875" style="2" bestFit="1" customWidth="1"/>
    <col min="51" max="60" width="12.44140625" style="2" bestFit="1" customWidth="1"/>
    <col min="61" max="62" width="16.44140625" style="2" bestFit="1" customWidth="1"/>
    <col min="63" max="16384" width="11.44140625" style="2"/>
  </cols>
  <sheetData>
    <row r="2" spans="2:17" x14ac:dyDescent="0.25">
      <c r="B2" s="158" t="s">
        <v>60</v>
      </c>
      <c r="C2" s="158"/>
      <c r="D2" s="158"/>
      <c r="E2" s="158"/>
      <c r="F2" s="158"/>
      <c r="G2" s="158"/>
      <c r="H2" s="158"/>
      <c r="I2" s="158"/>
      <c r="J2" s="158"/>
      <c r="K2" s="158"/>
      <c r="L2" s="158"/>
      <c r="M2" s="158"/>
    </row>
    <row r="3" spans="2:17" x14ac:dyDescent="0.25">
      <c r="B3" s="158"/>
      <c r="C3" s="158"/>
      <c r="D3" s="158"/>
      <c r="E3" s="158"/>
      <c r="F3" s="158"/>
      <c r="G3" s="158"/>
      <c r="H3" s="158"/>
      <c r="I3" s="158"/>
      <c r="J3" s="158"/>
      <c r="K3" s="158"/>
      <c r="L3" s="158"/>
      <c r="M3" s="158"/>
    </row>
    <row r="4" spans="2:17" ht="12.75" customHeight="1" x14ac:dyDescent="0.25">
      <c r="B4" s="158"/>
      <c r="C4" s="158"/>
      <c r="D4" s="158"/>
      <c r="E4" s="158"/>
      <c r="F4" s="158"/>
      <c r="G4" s="158"/>
      <c r="H4" s="158"/>
      <c r="I4" s="158"/>
      <c r="J4" s="158"/>
      <c r="K4" s="158"/>
      <c r="L4" s="158"/>
      <c r="M4" s="158"/>
    </row>
    <row r="5" spans="2:17" ht="12.75" customHeight="1" x14ac:dyDescent="0.25">
      <c r="B5" s="158"/>
      <c r="C5" s="158"/>
      <c r="D5" s="158"/>
      <c r="E5" s="158"/>
      <c r="F5" s="158"/>
      <c r="G5" s="158"/>
      <c r="H5" s="158"/>
      <c r="I5" s="158"/>
      <c r="J5" s="158"/>
      <c r="K5" s="158"/>
      <c r="L5" s="158"/>
      <c r="M5" s="158"/>
    </row>
    <row r="6" spans="2:17" ht="12.75" customHeight="1" x14ac:dyDescent="0.25">
      <c r="B6" s="158"/>
      <c r="C6" s="158"/>
      <c r="D6" s="158"/>
      <c r="E6" s="158"/>
      <c r="F6" s="158"/>
      <c r="G6" s="158"/>
      <c r="H6" s="158"/>
      <c r="I6" s="158"/>
      <c r="J6" s="158"/>
      <c r="K6" s="158"/>
      <c r="L6" s="158"/>
      <c r="M6" s="158"/>
    </row>
    <row r="7" spans="2:17" ht="12.75" customHeight="1" x14ac:dyDescent="0.25"/>
    <row r="8" spans="2:17" ht="14.4" x14ac:dyDescent="0.3">
      <c r="B8" s="1" t="s">
        <v>1</v>
      </c>
      <c r="C8" s="35">
        <v>0.12280000000000001</v>
      </c>
    </row>
    <row r="11" spans="2:17" ht="20.399999999999999" thickBot="1" x14ac:dyDescent="0.45">
      <c r="B11" s="33" t="s">
        <v>54</v>
      </c>
      <c r="C11" s="33"/>
      <c r="D11" s="33"/>
      <c r="E11" s="33"/>
      <c r="F11" s="33"/>
      <c r="G11" s="33"/>
    </row>
    <row r="12" spans="2:17" ht="13.8" thickTop="1" x14ac:dyDescent="0.25"/>
    <row r="13" spans="2:17" ht="39.6" x14ac:dyDescent="0.25">
      <c r="B13" s="6" t="str">
        <f>+'Tablero de Control'!D17</f>
        <v>Actividad del activo j</v>
      </c>
      <c r="C13" s="6" t="str">
        <f>+'Tablero de Control'!E17</f>
        <v>Identificación del activo</v>
      </c>
      <c r="D13" s="6" t="str">
        <f>+'Tablero de Control'!F17</f>
        <v>Año planeado</v>
      </c>
      <c r="E13" s="6" t="str">
        <f>+'Tablero de Control'!H17</f>
        <v>Valor POIR planeado del activo j</v>
      </c>
      <c r="F13" s="6" t="str">
        <f>+'Tablero de Control'!I17</f>
        <v>Vida Útil</v>
      </c>
      <c r="G13" s="20">
        <v>0</v>
      </c>
      <c r="H13" s="20">
        <v>1</v>
      </c>
      <c r="I13" s="20">
        <v>2</v>
      </c>
      <c r="J13" s="20">
        <v>3</v>
      </c>
      <c r="K13" s="20">
        <v>4</v>
      </c>
      <c r="L13" s="20">
        <v>5</v>
      </c>
      <c r="M13" s="20">
        <v>6</v>
      </c>
      <c r="N13" s="20">
        <v>7</v>
      </c>
      <c r="O13" s="20">
        <v>8</v>
      </c>
      <c r="P13" s="20">
        <v>9</v>
      </c>
      <c r="Q13" s="20">
        <v>10</v>
      </c>
    </row>
    <row r="14" spans="2:17" x14ac:dyDescent="0.25">
      <c r="B14" s="7" t="str">
        <f>+'Tablero de Control'!D18</f>
        <v>CAPTACIÓN</v>
      </c>
      <c r="C14" s="7" t="str">
        <f>+'Tablero de Control'!E18</f>
        <v>ACTIVO 1</v>
      </c>
      <c r="D14" s="8">
        <f>+'Tablero de Control'!F18</f>
        <v>2</v>
      </c>
      <c r="E14" s="9">
        <v>1000000000</v>
      </c>
      <c r="F14" s="21">
        <f>+VLOOKUP(C14,'Tablero de Control'!$E$18:$I$24,4,FALSE)</f>
        <v>1100000000</v>
      </c>
      <c r="G14" s="22" t="str">
        <f>+IF(G$13&lt;=$D14,"",$E14/$F14)</f>
        <v/>
      </c>
      <c r="H14" s="22"/>
      <c r="I14" s="22" t="str">
        <f t="shared" ref="I14:Q14" si="0">+IF(I$13&lt;=$D14,"",$E14/$F14)</f>
        <v/>
      </c>
      <c r="J14" s="22">
        <f t="shared" si="0"/>
        <v>0.90909090909090906</v>
      </c>
      <c r="K14" s="22">
        <f t="shared" si="0"/>
        <v>0.90909090909090906</v>
      </c>
      <c r="L14" s="22">
        <f t="shared" si="0"/>
        <v>0.90909090909090906</v>
      </c>
      <c r="M14" s="22">
        <f t="shared" si="0"/>
        <v>0.90909090909090906</v>
      </c>
      <c r="N14" s="22">
        <f t="shared" si="0"/>
        <v>0.90909090909090906</v>
      </c>
      <c r="O14" s="22">
        <f t="shared" si="0"/>
        <v>0.90909090909090906</v>
      </c>
      <c r="P14" s="22">
        <f t="shared" si="0"/>
        <v>0.90909090909090906</v>
      </c>
      <c r="Q14" s="22">
        <f t="shared" si="0"/>
        <v>0.90909090909090906</v>
      </c>
    </row>
    <row r="15" spans="2:17" x14ac:dyDescent="0.25">
      <c r="B15" s="7" t="str">
        <f>+'Tablero de Control'!D19</f>
        <v xml:space="preserve">ADUCCIÓN </v>
      </c>
      <c r="C15" s="7" t="str">
        <f>+'Tablero de Control'!E19</f>
        <v>ACTIVO 2</v>
      </c>
      <c r="D15" s="8">
        <f>+'Tablero de Control'!F19</f>
        <v>5</v>
      </c>
      <c r="E15" s="9">
        <v>1634066142.1486995</v>
      </c>
      <c r="F15" s="21">
        <f>+VLOOKUP(C15,'Tablero de Control'!$E$18:$I$24,4,FALSE)</f>
        <v>1500000000</v>
      </c>
      <c r="G15" s="22" t="str">
        <f t="shared" ref="G15:Q20" si="1">+IF(G$13&lt;=$D15,"",$E15/$F15)</f>
        <v/>
      </c>
      <c r="H15" s="22"/>
      <c r="I15" s="22" t="str">
        <f t="shared" si="1"/>
        <v/>
      </c>
      <c r="J15" s="22" t="str">
        <f t="shared" si="1"/>
        <v/>
      </c>
      <c r="K15" s="22" t="str">
        <f t="shared" si="1"/>
        <v/>
      </c>
      <c r="L15" s="22" t="str">
        <f t="shared" si="1"/>
        <v/>
      </c>
      <c r="M15" s="22">
        <f t="shared" si="1"/>
        <v>1.0893774280991331</v>
      </c>
      <c r="N15" s="22">
        <f t="shared" si="1"/>
        <v>1.0893774280991331</v>
      </c>
      <c r="O15" s="22">
        <f t="shared" si="1"/>
        <v>1.0893774280991331</v>
      </c>
      <c r="P15" s="22">
        <f t="shared" si="1"/>
        <v>1.0893774280991331</v>
      </c>
      <c r="Q15" s="22">
        <f t="shared" si="1"/>
        <v>1.0893774280991331</v>
      </c>
    </row>
    <row r="16" spans="2:17" x14ac:dyDescent="0.25">
      <c r="B16" s="7" t="str">
        <f>+'Tablero de Control'!D20</f>
        <v>PRETRATAMIENTO</v>
      </c>
      <c r="C16" s="7" t="str">
        <f>+'Tablero de Control'!E20</f>
        <v>ACTIVO 3</v>
      </c>
      <c r="D16" s="8">
        <f>+'Tablero de Control'!F20</f>
        <v>4</v>
      </c>
      <c r="E16" s="9">
        <v>2000000000</v>
      </c>
      <c r="F16" s="21">
        <f>+VLOOKUP(C16,'Tablero de Control'!$E$18:$I$24,4,FALSE)</f>
        <v>2000000000</v>
      </c>
      <c r="G16" s="22" t="str">
        <f t="shared" si="1"/>
        <v/>
      </c>
      <c r="H16" s="22"/>
      <c r="I16" s="22" t="str">
        <f t="shared" si="1"/>
        <v/>
      </c>
      <c r="J16" s="22" t="str">
        <f t="shared" si="1"/>
        <v/>
      </c>
      <c r="K16" s="22" t="str">
        <f t="shared" si="1"/>
        <v/>
      </c>
      <c r="L16" s="22">
        <f t="shared" si="1"/>
        <v>1</v>
      </c>
      <c r="M16" s="22">
        <f t="shared" si="1"/>
        <v>1</v>
      </c>
      <c r="N16" s="22">
        <f t="shared" si="1"/>
        <v>1</v>
      </c>
      <c r="O16" s="22">
        <f t="shared" si="1"/>
        <v>1</v>
      </c>
      <c r="P16" s="22">
        <f t="shared" si="1"/>
        <v>1</v>
      </c>
      <c r="Q16" s="22">
        <f t="shared" si="1"/>
        <v>1</v>
      </c>
    </row>
    <row r="17" spans="2:17" x14ac:dyDescent="0.25">
      <c r="B17" s="7" t="str">
        <f>+'Tablero de Control'!D21</f>
        <v>TRATAMIENTO</v>
      </c>
      <c r="C17" s="7" t="str">
        <f>+'Tablero de Control'!E21</f>
        <v>ACTIVO 4*</v>
      </c>
      <c r="D17" s="8">
        <f>+'Tablero de Control'!F21</f>
        <v>3</v>
      </c>
      <c r="E17" s="9">
        <v>1800000000</v>
      </c>
      <c r="F17" s="21">
        <f>+VLOOKUP(C17,'Tablero de Control'!$E$18:$I$24,4,FALSE)</f>
        <v>1800000000</v>
      </c>
      <c r="G17" s="22" t="str">
        <f t="shared" si="1"/>
        <v/>
      </c>
      <c r="H17" s="22"/>
      <c r="I17" s="22" t="str">
        <f t="shared" si="1"/>
        <v/>
      </c>
      <c r="J17" s="22" t="str">
        <f t="shared" si="1"/>
        <v/>
      </c>
      <c r="K17" s="22">
        <f t="shared" si="1"/>
        <v>1</v>
      </c>
      <c r="L17" s="22">
        <f t="shared" si="1"/>
        <v>1</v>
      </c>
      <c r="M17" s="22">
        <f t="shared" si="1"/>
        <v>1</v>
      </c>
      <c r="N17" s="22">
        <f t="shared" si="1"/>
        <v>1</v>
      </c>
      <c r="O17" s="22">
        <f t="shared" si="1"/>
        <v>1</v>
      </c>
      <c r="P17" s="22">
        <f t="shared" si="1"/>
        <v>1</v>
      </c>
      <c r="Q17" s="22">
        <f t="shared" si="1"/>
        <v>1</v>
      </c>
    </row>
    <row r="18" spans="2:17" x14ac:dyDescent="0.25">
      <c r="B18" s="7" t="str">
        <f>+'Tablero de Control'!D22</f>
        <v xml:space="preserve">CONDUCCIÓN </v>
      </c>
      <c r="C18" s="7" t="str">
        <f>+'Tablero de Control'!E22</f>
        <v>ACTIVO 5</v>
      </c>
      <c r="D18" s="8">
        <f>+'Tablero de Control'!F22</f>
        <v>2</v>
      </c>
      <c r="E18" s="9">
        <v>8000000000</v>
      </c>
      <c r="F18" s="21">
        <f>+VLOOKUP(C18,'Tablero de Control'!$E$18:$I$24,4,FALSE)</f>
        <v>8000000000</v>
      </c>
      <c r="G18" s="22" t="str">
        <f t="shared" si="1"/>
        <v/>
      </c>
      <c r="H18" s="22"/>
      <c r="I18" s="22" t="str">
        <f t="shared" si="1"/>
        <v/>
      </c>
      <c r="J18" s="22">
        <f t="shared" si="1"/>
        <v>1</v>
      </c>
      <c r="K18" s="22">
        <f t="shared" si="1"/>
        <v>1</v>
      </c>
      <c r="L18" s="22">
        <f t="shared" si="1"/>
        <v>1</v>
      </c>
      <c r="M18" s="22">
        <f t="shared" si="1"/>
        <v>1</v>
      </c>
      <c r="N18" s="22">
        <f t="shared" si="1"/>
        <v>1</v>
      </c>
      <c r="O18" s="22">
        <f t="shared" si="1"/>
        <v>1</v>
      </c>
      <c r="P18" s="22">
        <f t="shared" si="1"/>
        <v>1</v>
      </c>
      <c r="Q18" s="22">
        <f t="shared" si="1"/>
        <v>1</v>
      </c>
    </row>
    <row r="19" spans="2:17" x14ac:dyDescent="0.25">
      <c r="B19" s="7" t="str">
        <f>+'Tablero de Control'!D23</f>
        <v>ELEVACIÓN Y BOMBEO</v>
      </c>
      <c r="C19" s="7" t="str">
        <f>+'Tablero de Control'!E23</f>
        <v>ACTIVO 6</v>
      </c>
      <c r="D19" s="8">
        <f>+'Tablero de Control'!F23</f>
        <v>2</v>
      </c>
      <c r="E19" s="9">
        <v>2500000000</v>
      </c>
      <c r="F19" s="21">
        <f>+VLOOKUP(C19,'Tablero de Control'!$E$18:$I$24,4,FALSE)</f>
        <v>2500000000</v>
      </c>
      <c r="G19" s="22" t="str">
        <f t="shared" si="1"/>
        <v/>
      </c>
      <c r="H19" s="22"/>
      <c r="I19" s="22" t="str">
        <f t="shared" si="1"/>
        <v/>
      </c>
      <c r="J19" s="22">
        <f t="shared" si="1"/>
        <v>1</v>
      </c>
      <c r="K19" s="22">
        <f t="shared" si="1"/>
        <v>1</v>
      </c>
      <c r="L19" s="22">
        <f t="shared" si="1"/>
        <v>1</v>
      </c>
      <c r="M19" s="22">
        <f t="shared" si="1"/>
        <v>1</v>
      </c>
      <c r="N19" s="22">
        <f t="shared" si="1"/>
        <v>1</v>
      </c>
      <c r="O19" s="22">
        <f t="shared" si="1"/>
        <v>1</v>
      </c>
      <c r="P19" s="22">
        <f t="shared" si="1"/>
        <v>1</v>
      </c>
      <c r="Q19" s="22">
        <f t="shared" si="1"/>
        <v>1</v>
      </c>
    </row>
    <row r="20" spans="2:17" x14ac:dyDescent="0.25">
      <c r="B20" s="7" t="str">
        <f>+'Tablero de Control'!D24</f>
        <v>DISPOSICIÓN FINAL</v>
      </c>
      <c r="C20" s="7" t="str">
        <f>+'Tablero de Control'!E24</f>
        <v>ACTIVO 7</v>
      </c>
      <c r="D20" s="8">
        <f>+'Tablero de Control'!F24</f>
        <v>8</v>
      </c>
      <c r="E20" s="9">
        <v>3000000000</v>
      </c>
      <c r="F20" s="21">
        <f>+VLOOKUP(C20,'Tablero de Control'!$E$18:$I$24,4,FALSE)</f>
        <v>3000000000</v>
      </c>
      <c r="G20" s="22" t="str">
        <f t="shared" si="1"/>
        <v/>
      </c>
      <c r="H20" s="22"/>
      <c r="I20" s="22" t="str">
        <f t="shared" si="1"/>
        <v/>
      </c>
      <c r="J20" s="22" t="str">
        <f t="shared" si="1"/>
        <v/>
      </c>
      <c r="K20" s="22" t="str">
        <f t="shared" si="1"/>
        <v/>
      </c>
      <c r="L20" s="22" t="str">
        <f t="shared" si="1"/>
        <v/>
      </c>
      <c r="M20" s="22" t="str">
        <f t="shared" si="1"/>
        <v/>
      </c>
      <c r="N20" s="22" t="str">
        <f t="shared" si="1"/>
        <v/>
      </c>
      <c r="O20" s="22" t="str">
        <f t="shared" si="1"/>
        <v/>
      </c>
      <c r="P20" s="22">
        <f t="shared" si="1"/>
        <v>1</v>
      </c>
      <c r="Q20" s="22">
        <f t="shared" si="1"/>
        <v>1</v>
      </c>
    </row>
    <row r="22" spans="2:17" ht="20.399999999999999" thickBot="1" x14ac:dyDescent="0.45">
      <c r="B22" s="33" t="s">
        <v>55</v>
      </c>
      <c r="C22" s="33"/>
      <c r="D22" s="33"/>
      <c r="E22" s="33"/>
      <c r="F22" s="33"/>
      <c r="G22" s="33"/>
    </row>
    <row r="23" spans="2:17" ht="13.8" thickTop="1" x14ac:dyDescent="0.25"/>
    <row r="24" spans="2:17" ht="39.6" x14ac:dyDescent="0.25">
      <c r="B24" s="6" t="str">
        <f t="shared" ref="B24:B31" si="2">+B13</f>
        <v>Actividad del activo j</v>
      </c>
      <c r="C24" s="6" t="str">
        <f t="shared" ref="C24:E25" si="3">+C13</f>
        <v>Identificación del activo</v>
      </c>
      <c r="D24" s="6" t="str">
        <f t="shared" si="3"/>
        <v>Año planeado</v>
      </c>
      <c r="E24" s="6" t="str">
        <f t="shared" si="3"/>
        <v>Valor POIR planeado del activo j</v>
      </c>
      <c r="F24" s="6" t="str">
        <f>+F13</f>
        <v>Vida Útil</v>
      </c>
      <c r="G24" s="23">
        <v>0</v>
      </c>
      <c r="H24" s="23">
        <v>1</v>
      </c>
      <c r="I24" s="23">
        <v>2</v>
      </c>
      <c r="J24" s="23">
        <v>3</v>
      </c>
      <c r="K24" s="23">
        <v>4</v>
      </c>
      <c r="L24" s="23">
        <v>5</v>
      </c>
      <c r="M24" s="23">
        <v>6</v>
      </c>
      <c r="N24" s="23">
        <v>7</v>
      </c>
      <c r="O24" s="23">
        <v>8</v>
      </c>
      <c r="P24" s="23">
        <v>9</v>
      </c>
      <c r="Q24" s="23">
        <v>10</v>
      </c>
    </row>
    <row r="25" spans="2:17" x14ac:dyDescent="0.25">
      <c r="B25" s="7" t="str">
        <f t="shared" si="2"/>
        <v>CAPTACIÓN</v>
      </c>
      <c r="C25" s="7" t="str">
        <f t="shared" si="3"/>
        <v>ACTIVO 1</v>
      </c>
      <c r="D25" s="25">
        <f t="shared" si="3"/>
        <v>2</v>
      </c>
      <c r="E25" s="9">
        <v>1000000000</v>
      </c>
      <c r="F25" s="21">
        <f>+VLOOKUP(C25,'Tablero de Control'!$E$18:$I$24,4,FALSE)</f>
        <v>1100000000</v>
      </c>
      <c r="G25" s="22" t="str">
        <f t="shared" ref="G25:G31" si="4">+IF($D14=G$24,$E14,IF($D14&gt;G$24,"",Q14-G14))</f>
        <v/>
      </c>
      <c r="H25" s="22" t="str">
        <f t="shared" ref="H25:Q25" si="5">+IF($D14=H$24,$E14,IF($D14&gt;H$24,"",G25-H14))</f>
        <v/>
      </c>
      <c r="I25" s="22">
        <f t="shared" si="5"/>
        <v>1000000000</v>
      </c>
      <c r="J25" s="22">
        <f t="shared" si="5"/>
        <v>999999999.09090912</v>
      </c>
      <c r="K25" s="22">
        <f t="shared" si="5"/>
        <v>999999998.18181825</v>
      </c>
      <c r="L25" s="22">
        <f t="shared" si="5"/>
        <v>999999997.27272737</v>
      </c>
      <c r="M25" s="22">
        <f t="shared" si="5"/>
        <v>999999996.36363649</v>
      </c>
      <c r="N25" s="22">
        <f t="shared" si="5"/>
        <v>999999995.45454562</v>
      </c>
      <c r="O25" s="22">
        <f t="shared" si="5"/>
        <v>999999994.54545474</v>
      </c>
      <c r="P25" s="22">
        <f t="shared" si="5"/>
        <v>999999993.63636386</v>
      </c>
      <c r="Q25" s="22">
        <f t="shared" si="5"/>
        <v>999999992.72727299</v>
      </c>
    </row>
    <row r="26" spans="2:17" x14ac:dyDescent="0.25">
      <c r="B26" s="7" t="str">
        <f t="shared" si="2"/>
        <v xml:space="preserve">ADUCCIÓN </v>
      </c>
      <c r="C26" s="7" t="str">
        <f t="shared" ref="C26:D31" si="6">+C15</f>
        <v>ACTIVO 2</v>
      </c>
      <c r="D26" s="25">
        <f t="shared" si="6"/>
        <v>5</v>
      </c>
      <c r="E26" s="9">
        <v>1634066142.1486995</v>
      </c>
      <c r="F26" s="21">
        <f>+VLOOKUP(C26,'Tablero de Control'!$E$18:$I$24,4,FALSE)</f>
        <v>1500000000</v>
      </c>
      <c r="G26" s="22" t="str">
        <f t="shared" si="4"/>
        <v/>
      </c>
      <c r="H26" s="22" t="str">
        <f t="shared" ref="H26:Q26" si="7">+IF($D15=H$24,$E15,IF($D15&gt;H$24,"",G26-H15))</f>
        <v/>
      </c>
      <c r="I26" s="22" t="str">
        <f t="shared" si="7"/>
        <v/>
      </c>
      <c r="J26" s="22" t="str">
        <f t="shared" si="7"/>
        <v/>
      </c>
      <c r="K26" s="22" t="str">
        <f t="shared" si="7"/>
        <v/>
      </c>
      <c r="L26" s="22">
        <f t="shared" si="7"/>
        <v>1634066142.1486995</v>
      </c>
      <c r="M26" s="22">
        <f t="shared" si="7"/>
        <v>1634066141.0593221</v>
      </c>
      <c r="N26" s="22">
        <f t="shared" si="7"/>
        <v>1634066139.9699447</v>
      </c>
      <c r="O26" s="22">
        <f t="shared" si="7"/>
        <v>1634066138.8805673</v>
      </c>
      <c r="P26" s="22">
        <f t="shared" si="7"/>
        <v>1634066137.7911899</v>
      </c>
      <c r="Q26" s="22">
        <f t="shared" si="7"/>
        <v>1634066136.7018125</v>
      </c>
    </row>
    <row r="27" spans="2:17" x14ac:dyDescent="0.25">
      <c r="B27" s="7" t="str">
        <f t="shared" si="2"/>
        <v>PRETRATAMIENTO</v>
      </c>
      <c r="C27" s="7" t="str">
        <f t="shared" si="6"/>
        <v>ACTIVO 3</v>
      </c>
      <c r="D27" s="25">
        <f t="shared" si="6"/>
        <v>4</v>
      </c>
      <c r="E27" s="9">
        <v>2000000000</v>
      </c>
      <c r="F27" s="21">
        <f>+VLOOKUP(C27,'Tablero de Control'!$E$18:$I$24,4,FALSE)</f>
        <v>2000000000</v>
      </c>
      <c r="G27" s="22" t="str">
        <f t="shared" si="4"/>
        <v/>
      </c>
      <c r="H27" s="22" t="str">
        <f t="shared" ref="H27:Q27" si="8">+IF($D16=H$24,$E16,IF($D16&gt;H$24,"",G27-H16))</f>
        <v/>
      </c>
      <c r="I27" s="22" t="str">
        <f t="shared" si="8"/>
        <v/>
      </c>
      <c r="J27" s="22" t="str">
        <f t="shared" si="8"/>
        <v/>
      </c>
      <c r="K27" s="22">
        <f t="shared" si="8"/>
        <v>2000000000</v>
      </c>
      <c r="L27" s="22">
        <f t="shared" si="8"/>
        <v>1999999999</v>
      </c>
      <c r="M27" s="22">
        <f t="shared" si="8"/>
        <v>1999999998</v>
      </c>
      <c r="N27" s="22">
        <f t="shared" si="8"/>
        <v>1999999997</v>
      </c>
      <c r="O27" s="22">
        <f t="shared" si="8"/>
        <v>1999999996</v>
      </c>
      <c r="P27" s="22">
        <f t="shared" si="8"/>
        <v>1999999995</v>
      </c>
      <c r="Q27" s="22">
        <f t="shared" si="8"/>
        <v>1999999994</v>
      </c>
    </row>
    <row r="28" spans="2:17" x14ac:dyDescent="0.25">
      <c r="B28" s="7" t="str">
        <f t="shared" si="2"/>
        <v>TRATAMIENTO</v>
      </c>
      <c r="C28" s="7" t="str">
        <f t="shared" si="6"/>
        <v>ACTIVO 4*</v>
      </c>
      <c r="D28" s="25">
        <f t="shared" si="6"/>
        <v>3</v>
      </c>
      <c r="E28" s="9">
        <v>1800000000</v>
      </c>
      <c r="F28" s="21">
        <f>+VLOOKUP(C28,'Tablero de Control'!$E$18:$I$24,4,FALSE)</f>
        <v>1800000000</v>
      </c>
      <c r="G28" s="22" t="str">
        <f t="shared" si="4"/>
        <v/>
      </c>
      <c r="H28" s="22" t="str">
        <f t="shared" ref="H28:Q28" si="9">+IF($D17=H$24,$E17,IF($D17&gt;H$24,"",G28-H17))</f>
        <v/>
      </c>
      <c r="I28" s="22" t="str">
        <f t="shared" si="9"/>
        <v/>
      </c>
      <c r="J28" s="22">
        <f t="shared" si="9"/>
        <v>1800000000</v>
      </c>
      <c r="K28" s="22">
        <f t="shared" si="9"/>
        <v>1799999999</v>
      </c>
      <c r="L28" s="22">
        <f t="shared" si="9"/>
        <v>1799999998</v>
      </c>
      <c r="M28" s="22">
        <f t="shared" si="9"/>
        <v>1799999997</v>
      </c>
      <c r="N28" s="22">
        <f t="shared" si="9"/>
        <v>1799999996</v>
      </c>
      <c r="O28" s="22">
        <f t="shared" si="9"/>
        <v>1799999995</v>
      </c>
      <c r="P28" s="22">
        <f t="shared" si="9"/>
        <v>1799999994</v>
      </c>
      <c r="Q28" s="22">
        <f t="shared" si="9"/>
        <v>1799999993</v>
      </c>
    </row>
    <row r="29" spans="2:17" x14ac:dyDescent="0.25">
      <c r="B29" s="7" t="str">
        <f t="shared" si="2"/>
        <v xml:space="preserve">CONDUCCIÓN </v>
      </c>
      <c r="C29" s="7" t="str">
        <f t="shared" si="6"/>
        <v>ACTIVO 5</v>
      </c>
      <c r="D29" s="25">
        <f t="shared" si="6"/>
        <v>2</v>
      </c>
      <c r="E29" s="9">
        <v>8000000000</v>
      </c>
      <c r="F29" s="21">
        <f>+VLOOKUP(C29,'Tablero de Control'!$E$18:$I$24,4,FALSE)</f>
        <v>8000000000</v>
      </c>
      <c r="G29" s="22" t="str">
        <f t="shared" si="4"/>
        <v/>
      </c>
      <c r="H29" s="22" t="str">
        <f t="shared" ref="H29:Q29" si="10">+IF($D18=H$24,$E18,IF($D18&gt;H$24,"",G29-H18))</f>
        <v/>
      </c>
      <c r="I29" s="22">
        <f t="shared" si="10"/>
        <v>8000000000</v>
      </c>
      <c r="J29" s="22">
        <f t="shared" si="10"/>
        <v>7999999999</v>
      </c>
      <c r="K29" s="22">
        <f t="shared" si="10"/>
        <v>7999999998</v>
      </c>
      <c r="L29" s="22">
        <f t="shared" si="10"/>
        <v>7999999997</v>
      </c>
      <c r="M29" s="22">
        <f t="shared" si="10"/>
        <v>7999999996</v>
      </c>
      <c r="N29" s="22">
        <f t="shared" si="10"/>
        <v>7999999995</v>
      </c>
      <c r="O29" s="22">
        <f t="shared" si="10"/>
        <v>7999999994</v>
      </c>
      <c r="P29" s="22">
        <f t="shared" si="10"/>
        <v>7999999993</v>
      </c>
      <c r="Q29" s="22">
        <f t="shared" si="10"/>
        <v>7999999992</v>
      </c>
    </row>
    <row r="30" spans="2:17" x14ac:dyDescent="0.25">
      <c r="B30" s="7" t="str">
        <f t="shared" si="2"/>
        <v>ELEVACIÓN Y BOMBEO</v>
      </c>
      <c r="C30" s="7" t="str">
        <f t="shared" si="6"/>
        <v>ACTIVO 6</v>
      </c>
      <c r="D30" s="25">
        <f t="shared" si="6"/>
        <v>2</v>
      </c>
      <c r="E30" s="9">
        <v>2500000000</v>
      </c>
      <c r="F30" s="21">
        <f>+VLOOKUP(C30,'Tablero de Control'!$E$18:$I$24,4,FALSE)</f>
        <v>2500000000</v>
      </c>
      <c r="G30" s="22" t="str">
        <f t="shared" si="4"/>
        <v/>
      </c>
      <c r="H30" s="22" t="str">
        <f t="shared" ref="H30:Q30" si="11">+IF($D19=H$24,$E19,IF($D19&gt;H$24,"",G30-H19))</f>
        <v/>
      </c>
      <c r="I30" s="22">
        <f t="shared" si="11"/>
        <v>2500000000</v>
      </c>
      <c r="J30" s="22">
        <f t="shared" si="11"/>
        <v>2499999999</v>
      </c>
      <c r="K30" s="22">
        <f t="shared" si="11"/>
        <v>2499999998</v>
      </c>
      <c r="L30" s="22">
        <f t="shared" si="11"/>
        <v>2499999997</v>
      </c>
      <c r="M30" s="22">
        <f t="shared" si="11"/>
        <v>2499999996</v>
      </c>
      <c r="N30" s="22">
        <f t="shared" si="11"/>
        <v>2499999995</v>
      </c>
      <c r="O30" s="22">
        <f t="shared" si="11"/>
        <v>2499999994</v>
      </c>
      <c r="P30" s="22">
        <f t="shared" si="11"/>
        <v>2499999993</v>
      </c>
      <c r="Q30" s="22">
        <f t="shared" si="11"/>
        <v>2499999992</v>
      </c>
    </row>
    <row r="31" spans="2:17" x14ac:dyDescent="0.25">
      <c r="B31" s="7" t="str">
        <f t="shared" si="2"/>
        <v>DISPOSICIÓN FINAL</v>
      </c>
      <c r="C31" s="7" t="str">
        <f t="shared" si="6"/>
        <v>ACTIVO 7</v>
      </c>
      <c r="D31" s="25">
        <f t="shared" si="6"/>
        <v>8</v>
      </c>
      <c r="E31" s="9">
        <v>3000000000</v>
      </c>
      <c r="F31" s="21">
        <f>+VLOOKUP(C31,'Tablero de Control'!$E$18:$I$24,4,FALSE)</f>
        <v>3000000000</v>
      </c>
      <c r="G31" s="22" t="str">
        <f t="shared" si="4"/>
        <v/>
      </c>
      <c r="H31" s="22" t="str">
        <f t="shared" ref="H31:Q31" si="12">+IF($D20=H$24,$E20,IF($D20&gt;H$24,"",G31-H20))</f>
        <v/>
      </c>
      <c r="I31" s="22" t="str">
        <f t="shared" si="12"/>
        <v/>
      </c>
      <c r="J31" s="22" t="str">
        <f t="shared" si="12"/>
        <v/>
      </c>
      <c r="K31" s="22" t="str">
        <f t="shared" si="12"/>
        <v/>
      </c>
      <c r="L31" s="22" t="str">
        <f t="shared" si="12"/>
        <v/>
      </c>
      <c r="M31" s="22" t="str">
        <f t="shared" si="12"/>
        <v/>
      </c>
      <c r="N31" s="22" t="str">
        <f t="shared" si="12"/>
        <v/>
      </c>
      <c r="O31" s="22">
        <f t="shared" si="12"/>
        <v>3000000000</v>
      </c>
      <c r="P31" s="22">
        <f t="shared" si="12"/>
        <v>2999999999</v>
      </c>
      <c r="Q31" s="22">
        <f t="shared" si="12"/>
        <v>2999999998</v>
      </c>
    </row>
    <row r="33" spans="2:17" ht="20.399999999999999" thickBot="1" x14ac:dyDescent="0.45">
      <c r="B33" s="33" t="s">
        <v>56</v>
      </c>
      <c r="C33" s="33"/>
      <c r="D33" s="33"/>
      <c r="E33" s="33"/>
      <c r="F33" s="33"/>
      <c r="G33" s="33"/>
    </row>
    <row r="34" spans="2:17" ht="13.8" thickTop="1" x14ac:dyDescent="0.25"/>
    <row r="35" spans="2:17" ht="39.6" x14ac:dyDescent="0.25">
      <c r="B35" s="6" t="str">
        <f>+B24</f>
        <v>Actividad del activo j</v>
      </c>
      <c r="C35" s="6" t="str">
        <f>+C24</f>
        <v>Identificación del activo</v>
      </c>
      <c r="D35" s="6" t="str">
        <f>+D24</f>
        <v>Año planeado</v>
      </c>
      <c r="E35" s="6" t="str">
        <f>+E24</f>
        <v>Valor POIR planeado del activo j</v>
      </c>
      <c r="F35" s="6" t="str">
        <f>+F24</f>
        <v>Vida Útil</v>
      </c>
      <c r="G35" s="6" t="s">
        <v>40</v>
      </c>
      <c r="H35" s="6" t="s">
        <v>30</v>
      </c>
      <c r="I35" s="6" t="s">
        <v>31</v>
      </c>
      <c r="J35" s="6" t="s">
        <v>32</v>
      </c>
      <c r="K35" s="6" t="s">
        <v>33</v>
      </c>
      <c r="L35" s="6" t="s">
        <v>34</v>
      </c>
      <c r="M35" s="6" t="s">
        <v>35</v>
      </c>
      <c r="N35" s="6" t="s">
        <v>36</v>
      </c>
      <c r="O35" s="6" t="s">
        <v>37</v>
      </c>
      <c r="P35" s="6" t="s">
        <v>38</v>
      </c>
      <c r="Q35" s="6" t="s">
        <v>39</v>
      </c>
    </row>
    <row r="36" spans="2:17" x14ac:dyDescent="0.25">
      <c r="B36" s="7" t="str">
        <f>+B25</f>
        <v>CAPTACIÓN</v>
      </c>
      <c r="C36" s="7" t="str">
        <f t="shared" ref="C36:D36" si="13">+C25</f>
        <v>ACTIVO 1</v>
      </c>
      <c r="D36" s="25">
        <f t="shared" si="13"/>
        <v>2</v>
      </c>
      <c r="E36" s="9">
        <v>1000000000</v>
      </c>
      <c r="F36" s="21">
        <f>+VLOOKUP(C36,'Tablero de Control'!$E$18:$I$24,4,FALSE)</f>
        <v>1100000000</v>
      </c>
      <c r="G36" s="22" t="str">
        <f>+IFERROR(IF($D14&gt;G$24,"",F25*$C$8),"")</f>
        <v/>
      </c>
      <c r="H36" s="22" t="str">
        <f t="shared" ref="H36:Q36" si="14">+IFERROR(IF($D14&gt;H$24,"",G25*$C$8),"")</f>
        <v/>
      </c>
      <c r="I36" s="22" t="str">
        <f t="shared" si="14"/>
        <v/>
      </c>
      <c r="J36" s="22">
        <f t="shared" si="14"/>
        <v>122800000</v>
      </c>
      <c r="K36" s="22">
        <f t="shared" si="14"/>
        <v>122799999.88836364</v>
      </c>
      <c r="L36" s="22">
        <f t="shared" si="14"/>
        <v>122799999.77672729</v>
      </c>
      <c r="M36" s="22">
        <f t="shared" si="14"/>
        <v>122799999.66509093</v>
      </c>
      <c r="N36" s="22">
        <f>+IFERROR(IF($D14&gt;N$24,"",M25*$C$8),"")</f>
        <v>122799999.55345456</v>
      </c>
      <c r="O36" s="22">
        <f t="shared" si="14"/>
        <v>122799999.44181821</v>
      </c>
      <c r="P36" s="22">
        <f t="shared" si="14"/>
        <v>122799999.33018185</v>
      </c>
      <c r="Q36" s="22">
        <f t="shared" si="14"/>
        <v>122799999.21854548</v>
      </c>
    </row>
    <row r="37" spans="2:17" x14ac:dyDescent="0.25">
      <c r="B37" s="7" t="str">
        <f t="shared" ref="B37:D42" si="15">+B26</f>
        <v xml:space="preserve">ADUCCIÓN </v>
      </c>
      <c r="C37" s="7" t="str">
        <f t="shared" si="15"/>
        <v>ACTIVO 2</v>
      </c>
      <c r="D37" s="25">
        <f t="shared" si="15"/>
        <v>5</v>
      </c>
      <c r="E37" s="9">
        <v>1634066142.1486995</v>
      </c>
      <c r="F37" s="21">
        <f>+VLOOKUP(C37,'Tablero de Control'!$E$18:$I$24,4,FALSE)</f>
        <v>1500000000</v>
      </c>
      <c r="G37" s="22" t="str">
        <f t="shared" ref="G37:Q42" si="16">+IFERROR(IF($D15&gt;G$24,"",F26*$C$8),"")</f>
        <v/>
      </c>
      <c r="H37" s="22" t="str">
        <f t="shared" si="16"/>
        <v/>
      </c>
      <c r="I37" s="22" t="str">
        <f t="shared" si="16"/>
        <v/>
      </c>
      <c r="J37" s="22" t="str">
        <f t="shared" si="16"/>
        <v/>
      </c>
      <c r="K37" s="22" t="str">
        <f t="shared" si="16"/>
        <v/>
      </c>
      <c r="L37" s="22" t="str">
        <f t="shared" si="16"/>
        <v/>
      </c>
      <c r="M37" s="22">
        <f t="shared" si="16"/>
        <v>200663322.2558603</v>
      </c>
      <c r="N37" s="22">
        <f t="shared" si="16"/>
        <v>200663322.12208477</v>
      </c>
      <c r="O37" s="22">
        <f t="shared" si="16"/>
        <v>200663321.98830923</v>
      </c>
      <c r="P37" s="22">
        <f t="shared" si="16"/>
        <v>200663321.85453367</v>
      </c>
      <c r="Q37" s="22">
        <f t="shared" si="16"/>
        <v>200663321.72075814</v>
      </c>
    </row>
    <row r="38" spans="2:17" x14ac:dyDescent="0.25">
      <c r="B38" s="7" t="str">
        <f t="shared" si="15"/>
        <v>PRETRATAMIENTO</v>
      </c>
      <c r="C38" s="7" t="str">
        <f t="shared" si="15"/>
        <v>ACTIVO 3</v>
      </c>
      <c r="D38" s="25">
        <f t="shared" si="15"/>
        <v>4</v>
      </c>
      <c r="E38" s="9">
        <v>2000000000</v>
      </c>
      <c r="F38" s="21">
        <f>+VLOOKUP(C38,'Tablero de Control'!$E$18:$I$24,4,FALSE)</f>
        <v>2000000000</v>
      </c>
      <c r="G38" s="22" t="str">
        <f t="shared" si="16"/>
        <v/>
      </c>
      <c r="H38" s="22" t="str">
        <f t="shared" si="16"/>
        <v/>
      </c>
      <c r="I38" s="22" t="str">
        <f t="shared" si="16"/>
        <v/>
      </c>
      <c r="J38" s="22" t="str">
        <f t="shared" si="16"/>
        <v/>
      </c>
      <c r="K38" s="22" t="str">
        <f t="shared" si="16"/>
        <v/>
      </c>
      <c r="L38" s="22">
        <f t="shared" si="16"/>
        <v>245600000</v>
      </c>
      <c r="M38" s="22">
        <f t="shared" si="16"/>
        <v>245599999.87720001</v>
      </c>
      <c r="N38" s="22">
        <f t="shared" si="16"/>
        <v>245599999.75440001</v>
      </c>
      <c r="O38" s="22">
        <f t="shared" si="16"/>
        <v>245599999.63160002</v>
      </c>
      <c r="P38" s="22">
        <f t="shared" si="16"/>
        <v>245599999.5088</v>
      </c>
      <c r="Q38" s="22">
        <f t="shared" si="16"/>
        <v>245599999.38600001</v>
      </c>
    </row>
    <row r="39" spans="2:17" x14ac:dyDescent="0.25">
      <c r="B39" s="7" t="str">
        <f t="shared" si="15"/>
        <v>TRATAMIENTO</v>
      </c>
      <c r="C39" s="7" t="str">
        <f t="shared" si="15"/>
        <v>ACTIVO 4*</v>
      </c>
      <c r="D39" s="25">
        <f t="shared" si="15"/>
        <v>3</v>
      </c>
      <c r="E39" s="9">
        <v>1800000000</v>
      </c>
      <c r="F39" s="21">
        <f>+VLOOKUP(C39,'Tablero de Control'!$E$18:$I$24,4,FALSE)</f>
        <v>1800000000</v>
      </c>
      <c r="G39" s="22" t="str">
        <f t="shared" si="16"/>
        <v/>
      </c>
      <c r="H39" s="22" t="str">
        <f t="shared" si="16"/>
        <v/>
      </c>
      <c r="I39" s="22" t="str">
        <f t="shared" si="16"/>
        <v/>
      </c>
      <c r="J39" s="22" t="str">
        <f t="shared" si="16"/>
        <v/>
      </c>
      <c r="K39" s="22">
        <f t="shared" si="16"/>
        <v>221040000</v>
      </c>
      <c r="L39" s="22">
        <f t="shared" si="16"/>
        <v>221039999.87720001</v>
      </c>
      <c r="M39" s="22">
        <f t="shared" si="16"/>
        <v>221039999.75440001</v>
      </c>
      <c r="N39" s="22">
        <f t="shared" si="16"/>
        <v>221039999.63160002</v>
      </c>
      <c r="O39" s="22">
        <f t="shared" si="16"/>
        <v>221039999.5088</v>
      </c>
      <c r="P39" s="22">
        <f t="shared" si="16"/>
        <v>221039999.38600001</v>
      </c>
      <c r="Q39" s="22">
        <f t="shared" si="16"/>
        <v>221039999.26320001</v>
      </c>
    </row>
    <row r="40" spans="2:17" x14ac:dyDescent="0.25">
      <c r="B40" s="7" t="str">
        <f t="shared" si="15"/>
        <v xml:space="preserve">CONDUCCIÓN </v>
      </c>
      <c r="C40" s="7" t="str">
        <f t="shared" si="15"/>
        <v>ACTIVO 5</v>
      </c>
      <c r="D40" s="25">
        <f t="shared" si="15"/>
        <v>2</v>
      </c>
      <c r="E40" s="9">
        <v>8000000000</v>
      </c>
      <c r="F40" s="21">
        <f>+VLOOKUP(C40,'Tablero de Control'!$E$18:$I$24,4,FALSE)</f>
        <v>8000000000</v>
      </c>
      <c r="G40" s="22" t="str">
        <f t="shared" si="16"/>
        <v/>
      </c>
      <c r="H40" s="22" t="str">
        <f t="shared" si="16"/>
        <v/>
      </c>
      <c r="I40" s="22" t="str">
        <f t="shared" si="16"/>
        <v/>
      </c>
      <c r="J40" s="22">
        <f t="shared" si="16"/>
        <v>982400000</v>
      </c>
      <c r="K40" s="22">
        <f t="shared" si="16"/>
        <v>982399999.87720001</v>
      </c>
      <c r="L40" s="22">
        <f t="shared" si="16"/>
        <v>982399999.75440001</v>
      </c>
      <c r="M40" s="22">
        <f t="shared" si="16"/>
        <v>982399999.63160002</v>
      </c>
      <c r="N40" s="22">
        <f t="shared" si="16"/>
        <v>982399999.50880003</v>
      </c>
      <c r="O40" s="22">
        <f t="shared" si="16"/>
        <v>982399999.38600004</v>
      </c>
      <c r="P40" s="22">
        <f t="shared" si="16"/>
        <v>982399999.26320004</v>
      </c>
      <c r="Q40" s="22">
        <f t="shared" si="16"/>
        <v>982399999.14040005</v>
      </c>
    </row>
    <row r="41" spans="2:17" x14ac:dyDescent="0.25">
      <c r="B41" s="7" t="str">
        <f t="shared" si="15"/>
        <v>ELEVACIÓN Y BOMBEO</v>
      </c>
      <c r="C41" s="7" t="str">
        <f t="shared" si="15"/>
        <v>ACTIVO 6</v>
      </c>
      <c r="D41" s="25">
        <f t="shared" si="15"/>
        <v>2</v>
      </c>
      <c r="E41" s="9">
        <v>2500000000</v>
      </c>
      <c r="F41" s="21">
        <f>+VLOOKUP(C41,'Tablero de Control'!$E$18:$I$24,4,FALSE)</f>
        <v>2500000000</v>
      </c>
      <c r="G41" s="22" t="str">
        <f t="shared" si="16"/>
        <v/>
      </c>
      <c r="H41" s="22" t="str">
        <f t="shared" si="16"/>
        <v/>
      </c>
      <c r="I41" s="22" t="str">
        <f t="shared" si="16"/>
        <v/>
      </c>
      <c r="J41" s="22">
        <f t="shared" si="16"/>
        <v>307000000</v>
      </c>
      <c r="K41" s="22">
        <f t="shared" si="16"/>
        <v>306999999.87720001</v>
      </c>
      <c r="L41" s="22">
        <f t="shared" si="16"/>
        <v>306999999.75440001</v>
      </c>
      <c r="M41" s="22">
        <f t="shared" si="16"/>
        <v>306999999.63160002</v>
      </c>
      <c r="N41" s="22">
        <f t="shared" si="16"/>
        <v>306999999.50880003</v>
      </c>
      <c r="O41" s="22">
        <f t="shared" si="16"/>
        <v>306999999.38600004</v>
      </c>
      <c r="P41" s="22">
        <f t="shared" si="16"/>
        <v>306999999.26320004</v>
      </c>
      <c r="Q41" s="22">
        <f t="shared" si="16"/>
        <v>306999999.14039999</v>
      </c>
    </row>
    <row r="42" spans="2:17" x14ac:dyDescent="0.25">
      <c r="B42" s="7" t="str">
        <f t="shared" si="15"/>
        <v>DISPOSICIÓN FINAL</v>
      </c>
      <c r="C42" s="7" t="str">
        <f t="shared" si="15"/>
        <v>ACTIVO 7</v>
      </c>
      <c r="D42" s="25">
        <f t="shared" si="15"/>
        <v>8</v>
      </c>
      <c r="E42" s="9">
        <v>3000000000</v>
      </c>
      <c r="F42" s="21">
        <f>+VLOOKUP(C42,'Tablero de Control'!$E$18:$I$24,4,FALSE)</f>
        <v>3000000000</v>
      </c>
      <c r="G42" s="22" t="str">
        <f t="shared" si="16"/>
        <v/>
      </c>
      <c r="H42" s="22" t="str">
        <f t="shared" si="16"/>
        <v/>
      </c>
      <c r="I42" s="22" t="str">
        <f t="shared" si="16"/>
        <v/>
      </c>
      <c r="J42" s="22" t="str">
        <f t="shared" si="16"/>
        <v/>
      </c>
      <c r="K42" s="22" t="str">
        <f t="shared" si="16"/>
        <v/>
      </c>
      <c r="L42" s="22" t="str">
        <f t="shared" si="16"/>
        <v/>
      </c>
      <c r="M42" s="22" t="str">
        <f t="shared" si="16"/>
        <v/>
      </c>
      <c r="N42" s="22" t="str">
        <f t="shared" si="16"/>
        <v/>
      </c>
      <c r="O42" s="22" t="str">
        <f t="shared" si="16"/>
        <v/>
      </c>
      <c r="P42" s="22">
        <f t="shared" si="16"/>
        <v>368400000</v>
      </c>
      <c r="Q42" s="22">
        <f t="shared" si="16"/>
        <v>368399999.87720001</v>
      </c>
    </row>
    <row r="44" spans="2:17" ht="20.399999999999999" thickBot="1" x14ac:dyDescent="0.45">
      <c r="B44" s="33" t="s">
        <v>57</v>
      </c>
      <c r="C44" s="33"/>
      <c r="D44" s="33"/>
      <c r="E44" s="33"/>
      <c r="F44" s="33"/>
      <c r="G44" s="33"/>
    </row>
    <row r="45" spans="2:17" ht="13.8" thickTop="1" x14ac:dyDescent="0.25"/>
    <row r="46" spans="2:17" ht="39.6" x14ac:dyDescent="0.25">
      <c r="B46" s="6" t="str">
        <f>+B35</f>
        <v>Actividad del activo j</v>
      </c>
      <c r="C46" s="6" t="str">
        <f>+C35</f>
        <v>Identificación del activo</v>
      </c>
      <c r="D46" s="6" t="str">
        <f>+D35</f>
        <v>Año planeado</v>
      </c>
      <c r="E46" s="6" t="str">
        <f>+E35</f>
        <v>Valor POIR planeado del activo j</v>
      </c>
      <c r="F46" s="6" t="str">
        <f>+F35</f>
        <v>Vida Útil</v>
      </c>
      <c r="G46" s="24">
        <v>0</v>
      </c>
      <c r="H46" s="24">
        <v>1</v>
      </c>
      <c r="I46" s="24">
        <v>2</v>
      </c>
      <c r="J46" s="24">
        <v>3</v>
      </c>
      <c r="K46" s="24">
        <v>4</v>
      </c>
      <c r="L46" s="24">
        <v>5</v>
      </c>
      <c r="M46" s="24">
        <v>6</v>
      </c>
      <c r="N46" s="24">
        <v>7</v>
      </c>
      <c r="O46" s="24">
        <v>8</v>
      </c>
      <c r="P46" s="24">
        <v>9</v>
      </c>
      <c r="Q46" s="24">
        <v>10</v>
      </c>
    </row>
    <row r="47" spans="2:17" x14ac:dyDescent="0.25">
      <c r="B47" s="7" t="str">
        <f>+B36</f>
        <v>CAPTACIÓN</v>
      </c>
      <c r="C47" s="7" t="str">
        <f t="shared" ref="C47:D47" si="17">+C36</f>
        <v>ACTIVO 1</v>
      </c>
      <c r="D47" s="25">
        <f t="shared" si="17"/>
        <v>2</v>
      </c>
      <c r="E47" s="9">
        <v>1000000000</v>
      </c>
      <c r="F47" s="21">
        <f>+VLOOKUP(C47,'Tablero de Control'!$E$18:$I$24,4,FALSE)</f>
        <v>1100000000</v>
      </c>
      <c r="G47" s="22" t="str">
        <f t="shared" ref="G47:Q47" si="18">+IFERROR(G36+G14,"")</f>
        <v/>
      </c>
      <c r="H47" s="22" t="str">
        <f t="shared" si="18"/>
        <v/>
      </c>
      <c r="I47" s="22" t="str">
        <f t="shared" si="18"/>
        <v/>
      </c>
      <c r="J47" s="22">
        <f t="shared" si="18"/>
        <v>122800000.90909091</v>
      </c>
      <c r="K47" s="22">
        <f t="shared" si="18"/>
        <v>122800000.79745455</v>
      </c>
      <c r="L47" s="22">
        <f t="shared" si="18"/>
        <v>122800000.6858182</v>
      </c>
      <c r="M47" s="22">
        <f t="shared" si="18"/>
        <v>122800000.57418184</v>
      </c>
      <c r="N47" s="22">
        <f t="shared" si="18"/>
        <v>122800000.46254547</v>
      </c>
      <c r="O47" s="22">
        <f t="shared" si="18"/>
        <v>122800000.35090911</v>
      </c>
      <c r="P47" s="22">
        <f t="shared" si="18"/>
        <v>122800000.23927276</v>
      </c>
      <c r="Q47" s="22">
        <f t="shared" si="18"/>
        <v>122800000.12763639</v>
      </c>
    </row>
    <row r="48" spans="2:17" x14ac:dyDescent="0.25">
      <c r="B48" s="7" t="str">
        <f t="shared" ref="B48:D53" si="19">+B37</f>
        <v xml:space="preserve">ADUCCIÓN </v>
      </c>
      <c r="C48" s="7" t="str">
        <f t="shared" si="19"/>
        <v>ACTIVO 2</v>
      </c>
      <c r="D48" s="25">
        <f t="shared" si="19"/>
        <v>5</v>
      </c>
      <c r="E48" s="9">
        <v>1634066142.1486995</v>
      </c>
      <c r="F48" s="21">
        <f>+VLOOKUP(C48,'Tablero de Control'!$E$18:$I$24,4,FALSE)</f>
        <v>1500000000</v>
      </c>
      <c r="G48" s="22" t="str">
        <f t="shared" ref="G48:Q48" si="20">+IFERROR(G37+G15,"")</f>
        <v/>
      </c>
      <c r="H48" s="22" t="str">
        <f t="shared" si="20"/>
        <v/>
      </c>
      <c r="I48" s="22" t="str">
        <f t="shared" si="20"/>
        <v/>
      </c>
      <c r="J48" s="22" t="str">
        <f t="shared" si="20"/>
        <v/>
      </c>
      <c r="K48" s="22" t="str">
        <f t="shared" si="20"/>
        <v/>
      </c>
      <c r="L48" s="22" t="str">
        <f t="shared" si="20"/>
        <v/>
      </c>
      <c r="M48" s="22">
        <f t="shared" si="20"/>
        <v>200663323.34523773</v>
      </c>
      <c r="N48" s="22">
        <f t="shared" si="20"/>
        <v>200663323.2114622</v>
      </c>
      <c r="O48" s="22">
        <f t="shared" si="20"/>
        <v>200663323.07768667</v>
      </c>
      <c r="P48" s="22">
        <f t="shared" si="20"/>
        <v>200663322.94391111</v>
      </c>
      <c r="Q48" s="22">
        <f t="shared" si="20"/>
        <v>200663322.81013557</v>
      </c>
    </row>
    <row r="49" spans="2:17" x14ac:dyDescent="0.25">
      <c r="B49" s="7" t="str">
        <f t="shared" si="19"/>
        <v>PRETRATAMIENTO</v>
      </c>
      <c r="C49" s="7" t="str">
        <f t="shared" si="19"/>
        <v>ACTIVO 3</v>
      </c>
      <c r="D49" s="25">
        <f t="shared" si="19"/>
        <v>4</v>
      </c>
      <c r="E49" s="9">
        <v>2000000000</v>
      </c>
      <c r="F49" s="21">
        <f>+VLOOKUP(C49,'Tablero de Control'!$E$18:$I$24,4,FALSE)</f>
        <v>2000000000</v>
      </c>
      <c r="G49" s="22" t="str">
        <f t="shared" ref="G49:Q49" si="21">+IFERROR(G38+G16,"")</f>
        <v/>
      </c>
      <c r="H49" s="22" t="str">
        <f t="shared" si="21"/>
        <v/>
      </c>
      <c r="I49" s="22" t="str">
        <f t="shared" si="21"/>
        <v/>
      </c>
      <c r="J49" s="22" t="str">
        <f t="shared" si="21"/>
        <v/>
      </c>
      <c r="K49" s="22" t="str">
        <f t="shared" si="21"/>
        <v/>
      </c>
      <c r="L49" s="22">
        <f t="shared" si="21"/>
        <v>245600001</v>
      </c>
      <c r="M49" s="22">
        <f t="shared" si="21"/>
        <v>245600000.87720001</v>
      </c>
      <c r="N49" s="22">
        <f t="shared" si="21"/>
        <v>245600000.75440001</v>
      </c>
      <c r="O49" s="22">
        <f t="shared" si="21"/>
        <v>245600000.63160002</v>
      </c>
      <c r="P49" s="22">
        <f t="shared" si="21"/>
        <v>245600000.5088</v>
      </c>
      <c r="Q49" s="22">
        <f t="shared" si="21"/>
        <v>245600000.38600001</v>
      </c>
    </row>
    <row r="50" spans="2:17" x14ac:dyDescent="0.25">
      <c r="B50" s="7" t="str">
        <f t="shared" si="19"/>
        <v>TRATAMIENTO</v>
      </c>
      <c r="C50" s="7" t="str">
        <f t="shared" si="19"/>
        <v>ACTIVO 4*</v>
      </c>
      <c r="D50" s="25">
        <f t="shared" si="19"/>
        <v>3</v>
      </c>
      <c r="E50" s="9">
        <v>1800000000</v>
      </c>
      <c r="F50" s="21">
        <f>+VLOOKUP(C50,'Tablero de Control'!$E$18:$I$24,4,FALSE)</f>
        <v>1800000000</v>
      </c>
      <c r="G50" s="22" t="str">
        <f t="shared" ref="G50:Q50" si="22">+IFERROR(G39+G17,"")</f>
        <v/>
      </c>
      <c r="H50" s="22" t="str">
        <f t="shared" si="22"/>
        <v/>
      </c>
      <c r="I50" s="22" t="str">
        <f t="shared" si="22"/>
        <v/>
      </c>
      <c r="J50" s="22" t="str">
        <f t="shared" si="22"/>
        <v/>
      </c>
      <c r="K50" s="22">
        <f t="shared" si="22"/>
        <v>221040001</v>
      </c>
      <c r="L50" s="22">
        <f t="shared" si="22"/>
        <v>221040000.87720001</v>
      </c>
      <c r="M50" s="22">
        <f t="shared" si="22"/>
        <v>221040000.75440001</v>
      </c>
      <c r="N50" s="22">
        <f t="shared" si="22"/>
        <v>221040000.63160002</v>
      </c>
      <c r="O50" s="22">
        <f t="shared" si="22"/>
        <v>221040000.5088</v>
      </c>
      <c r="P50" s="22">
        <f t="shared" si="22"/>
        <v>221040000.38600001</v>
      </c>
      <c r="Q50" s="22">
        <f t="shared" si="22"/>
        <v>221040000.26320001</v>
      </c>
    </row>
    <row r="51" spans="2:17" x14ac:dyDescent="0.25">
      <c r="B51" s="7" t="str">
        <f t="shared" si="19"/>
        <v xml:space="preserve">CONDUCCIÓN </v>
      </c>
      <c r="C51" s="7" t="str">
        <f t="shared" si="19"/>
        <v>ACTIVO 5</v>
      </c>
      <c r="D51" s="25">
        <f t="shared" si="19"/>
        <v>2</v>
      </c>
      <c r="E51" s="9">
        <v>8000000000</v>
      </c>
      <c r="F51" s="21">
        <f>+VLOOKUP(C51,'Tablero de Control'!$E$18:$I$24,4,FALSE)</f>
        <v>8000000000</v>
      </c>
      <c r="G51" s="22" t="str">
        <f t="shared" ref="G51:Q51" si="23">+IFERROR(G40+G18,"")</f>
        <v/>
      </c>
      <c r="H51" s="22" t="str">
        <f t="shared" si="23"/>
        <v/>
      </c>
      <c r="I51" s="22" t="str">
        <f t="shared" si="23"/>
        <v/>
      </c>
      <c r="J51" s="22">
        <f t="shared" si="23"/>
        <v>982400001</v>
      </c>
      <c r="K51" s="22">
        <f t="shared" si="23"/>
        <v>982400000.87720001</v>
      </c>
      <c r="L51" s="22">
        <f t="shared" si="23"/>
        <v>982400000.75440001</v>
      </c>
      <c r="M51" s="22">
        <f t="shared" si="23"/>
        <v>982400000.63160002</v>
      </c>
      <c r="N51" s="22">
        <f t="shared" si="23"/>
        <v>982400000.50880003</v>
      </c>
      <c r="O51" s="22">
        <f t="shared" si="23"/>
        <v>982400000.38600004</v>
      </c>
      <c r="P51" s="22">
        <f t="shared" si="23"/>
        <v>982400000.26320004</v>
      </c>
      <c r="Q51" s="22">
        <f t="shared" si="23"/>
        <v>982400000.14040005</v>
      </c>
    </row>
    <row r="52" spans="2:17" x14ac:dyDescent="0.25">
      <c r="B52" s="7" t="str">
        <f t="shared" si="19"/>
        <v>ELEVACIÓN Y BOMBEO</v>
      </c>
      <c r="C52" s="7" t="str">
        <f t="shared" si="19"/>
        <v>ACTIVO 6</v>
      </c>
      <c r="D52" s="25">
        <f t="shared" si="19"/>
        <v>2</v>
      </c>
      <c r="E52" s="9">
        <v>2500000000</v>
      </c>
      <c r="F52" s="21">
        <f>+VLOOKUP(C52,'Tablero de Control'!$E$18:$I$24,4,FALSE)</f>
        <v>2500000000</v>
      </c>
      <c r="G52" s="22" t="str">
        <f t="shared" ref="G52:Q52" si="24">+IFERROR(G41+G19,"")</f>
        <v/>
      </c>
      <c r="H52" s="22" t="str">
        <f t="shared" si="24"/>
        <v/>
      </c>
      <c r="I52" s="22" t="str">
        <f t="shared" si="24"/>
        <v/>
      </c>
      <c r="J52" s="22">
        <f t="shared" si="24"/>
        <v>307000001</v>
      </c>
      <c r="K52" s="22">
        <f t="shared" si="24"/>
        <v>307000000.87720001</v>
      </c>
      <c r="L52" s="22">
        <f t="shared" si="24"/>
        <v>307000000.75440001</v>
      </c>
      <c r="M52" s="22">
        <f t="shared" si="24"/>
        <v>307000000.63160002</v>
      </c>
      <c r="N52" s="22">
        <f t="shared" si="24"/>
        <v>307000000.50880003</v>
      </c>
      <c r="O52" s="22">
        <f t="shared" si="24"/>
        <v>307000000.38600004</v>
      </c>
      <c r="P52" s="22">
        <f t="shared" si="24"/>
        <v>307000000.26320004</v>
      </c>
      <c r="Q52" s="22">
        <f t="shared" si="24"/>
        <v>307000000.14039999</v>
      </c>
    </row>
    <row r="53" spans="2:17" x14ac:dyDescent="0.25">
      <c r="B53" s="7" t="str">
        <f t="shared" si="19"/>
        <v>DISPOSICIÓN FINAL</v>
      </c>
      <c r="C53" s="7" t="str">
        <f t="shared" si="19"/>
        <v>ACTIVO 7</v>
      </c>
      <c r="D53" s="25">
        <f t="shared" si="19"/>
        <v>8</v>
      </c>
      <c r="E53" s="9">
        <v>3000000000</v>
      </c>
      <c r="F53" s="21">
        <f>+VLOOKUP(C53,'Tablero de Control'!$E$18:$I$24,4,FALSE)</f>
        <v>3000000000</v>
      </c>
      <c r="G53" s="22" t="str">
        <f t="shared" ref="G53:Q53" si="25">+IFERROR(G42+G20,"")</f>
        <v/>
      </c>
      <c r="H53" s="22" t="str">
        <f t="shared" si="25"/>
        <v/>
      </c>
      <c r="I53" s="22" t="str">
        <f t="shared" si="25"/>
        <v/>
      </c>
      <c r="J53" s="22" t="str">
        <f t="shared" si="25"/>
        <v/>
      </c>
      <c r="K53" s="22" t="str">
        <f t="shared" si="25"/>
        <v/>
      </c>
      <c r="L53" s="22" t="str">
        <f t="shared" si="25"/>
        <v/>
      </c>
      <c r="M53" s="22" t="str">
        <f t="shared" si="25"/>
        <v/>
      </c>
      <c r="N53" s="22" t="str">
        <f t="shared" si="25"/>
        <v/>
      </c>
      <c r="O53" s="22" t="str">
        <f t="shared" si="25"/>
        <v/>
      </c>
      <c r="P53" s="22">
        <f t="shared" si="25"/>
        <v>368400001</v>
      </c>
      <c r="Q53" s="22">
        <f t="shared" si="25"/>
        <v>368400000.87720001</v>
      </c>
    </row>
    <row r="55" spans="2:17" ht="20.399999999999999" thickBot="1" x14ac:dyDescent="0.45">
      <c r="B55" s="33" t="s">
        <v>58</v>
      </c>
      <c r="C55" s="33"/>
      <c r="D55" s="33"/>
      <c r="E55" s="33"/>
      <c r="F55" s="33"/>
      <c r="G55" s="33"/>
    </row>
    <row r="56" spans="2:17" ht="13.8" thickTop="1" x14ac:dyDescent="0.25"/>
    <row r="57" spans="2:17" ht="39.6" x14ac:dyDescent="0.25">
      <c r="B57" s="6" t="str">
        <f>+B46</f>
        <v>Actividad del activo j</v>
      </c>
      <c r="C57" s="6" t="str">
        <f>+C46</f>
        <v>Identificación del activo</v>
      </c>
      <c r="D57" s="6" t="str">
        <f>+D46</f>
        <v>Año planeado</v>
      </c>
      <c r="E57" s="6" t="str">
        <f>+E46</f>
        <v>Valor POIR planeado del activo j</v>
      </c>
      <c r="F57" s="6" t="str">
        <f>+F46</f>
        <v>Vida Útil</v>
      </c>
      <c r="G57" s="30">
        <v>1</v>
      </c>
      <c r="H57" s="30">
        <v>2</v>
      </c>
      <c r="I57" s="30">
        <v>3</v>
      </c>
      <c r="J57" s="30">
        <v>4</v>
      </c>
      <c r="K57" s="30">
        <v>5</v>
      </c>
      <c r="L57" s="30">
        <v>6</v>
      </c>
      <c r="M57" s="30">
        <v>7</v>
      </c>
      <c r="N57" s="30">
        <v>8</v>
      </c>
      <c r="O57" s="30">
        <v>9</v>
      </c>
      <c r="P57" s="30">
        <v>10</v>
      </c>
    </row>
    <row r="58" spans="2:17" x14ac:dyDescent="0.25">
      <c r="B58" s="7" t="str">
        <f>+B47</f>
        <v>CAPTACIÓN</v>
      </c>
      <c r="C58" s="7" t="str">
        <f t="shared" ref="C58:D58" si="26">+C47</f>
        <v>ACTIVO 1</v>
      </c>
      <c r="D58" s="25">
        <f t="shared" si="26"/>
        <v>2</v>
      </c>
      <c r="E58" s="9">
        <v>1000000000</v>
      </c>
      <c r="F58" s="21">
        <f>+VLOOKUP(C58,'Tablero de Control'!$E$18:$I$24,4,FALSE)</f>
        <v>1100000000</v>
      </c>
      <c r="G58" s="31">
        <f>+'Tablero de Control'!C$32</f>
        <v>304749279.12</v>
      </c>
      <c r="H58" s="31">
        <f>+'Tablero de Control'!D$32</f>
        <v>310063070.75999999</v>
      </c>
      <c r="I58" s="31">
        <f>+'Tablero de Control'!E$32</f>
        <v>313111354.31999999</v>
      </c>
      <c r="J58" s="31">
        <f>+'Tablero de Control'!F$32</f>
        <v>316489046.99999994</v>
      </c>
      <c r="K58" s="31">
        <f>+'Tablero de Control'!G$32</f>
        <v>318866646.84000003</v>
      </c>
      <c r="L58" s="31">
        <f>+'Tablero de Control'!H$32</f>
        <v>320080372.08000004</v>
      </c>
      <c r="M58" s="31">
        <f>+'Tablero de Control'!I$32</f>
        <v>321828145.32000005</v>
      </c>
      <c r="N58" s="31">
        <f>+'Tablero de Control'!J$32</f>
        <v>323889184.07999998</v>
      </c>
      <c r="O58" s="31">
        <f>+'Tablero de Control'!K$32</f>
        <v>325889684.63999999</v>
      </c>
      <c r="P58" s="31">
        <f>+'Tablero de Control'!L$32</f>
        <v>327001087.31999993</v>
      </c>
    </row>
    <row r="59" spans="2:17" x14ac:dyDescent="0.25">
      <c r="B59" s="7" t="str">
        <f t="shared" ref="B59:D64" si="27">+B48</f>
        <v xml:space="preserve">ADUCCIÓN </v>
      </c>
      <c r="C59" s="7" t="str">
        <f t="shared" si="27"/>
        <v>ACTIVO 2</v>
      </c>
      <c r="D59" s="25">
        <f t="shared" si="27"/>
        <v>5</v>
      </c>
      <c r="E59" s="9">
        <v>1634066142.1486995</v>
      </c>
      <c r="F59" s="21">
        <f>+VLOOKUP(C59,'Tablero de Control'!$E$18:$I$24,4,FALSE)</f>
        <v>1500000000</v>
      </c>
      <c r="G59" s="31">
        <f>+'Tablero de Control'!C$32</f>
        <v>304749279.12</v>
      </c>
      <c r="H59" s="31">
        <f>+'Tablero de Control'!D$32</f>
        <v>310063070.75999999</v>
      </c>
      <c r="I59" s="31">
        <f>+'Tablero de Control'!E$32</f>
        <v>313111354.31999999</v>
      </c>
      <c r="J59" s="31">
        <f>+'Tablero de Control'!F$32</f>
        <v>316489046.99999994</v>
      </c>
      <c r="K59" s="31">
        <f>+'Tablero de Control'!G$32</f>
        <v>318866646.84000003</v>
      </c>
      <c r="L59" s="31">
        <f>+'Tablero de Control'!H$32</f>
        <v>320080372.08000004</v>
      </c>
      <c r="M59" s="31">
        <f>+'Tablero de Control'!I$32</f>
        <v>321828145.32000005</v>
      </c>
      <c r="N59" s="31">
        <f>+'Tablero de Control'!J$32</f>
        <v>323889184.07999998</v>
      </c>
      <c r="O59" s="31">
        <f>+'Tablero de Control'!K$32</f>
        <v>325889684.63999999</v>
      </c>
      <c r="P59" s="31">
        <f>+'Tablero de Control'!L$32</f>
        <v>327001087.31999993</v>
      </c>
    </row>
    <row r="60" spans="2:17" x14ac:dyDescent="0.25">
      <c r="B60" s="7" t="str">
        <f t="shared" si="27"/>
        <v>PRETRATAMIENTO</v>
      </c>
      <c r="C60" s="7" t="str">
        <f t="shared" si="27"/>
        <v>ACTIVO 3</v>
      </c>
      <c r="D60" s="25">
        <f t="shared" si="27"/>
        <v>4</v>
      </c>
      <c r="E60" s="9">
        <v>2000000000</v>
      </c>
      <c r="F60" s="21">
        <f>+VLOOKUP(C60,'Tablero de Control'!$E$18:$I$24,4,FALSE)</f>
        <v>2000000000</v>
      </c>
      <c r="G60" s="31">
        <f>+'Tablero de Control'!C$32</f>
        <v>304749279.12</v>
      </c>
      <c r="H60" s="31">
        <f>+'Tablero de Control'!D$32</f>
        <v>310063070.75999999</v>
      </c>
      <c r="I60" s="31">
        <f>+'Tablero de Control'!E$32</f>
        <v>313111354.31999999</v>
      </c>
      <c r="J60" s="31">
        <f>+'Tablero de Control'!F$32</f>
        <v>316489046.99999994</v>
      </c>
      <c r="K60" s="31">
        <f>+'Tablero de Control'!G$32</f>
        <v>318866646.84000003</v>
      </c>
      <c r="L60" s="31">
        <f>+'Tablero de Control'!H$32</f>
        <v>320080372.08000004</v>
      </c>
      <c r="M60" s="31">
        <f>+'Tablero de Control'!I$32</f>
        <v>321828145.32000005</v>
      </c>
      <c r="N60" s="31">
        <f>+'Tablero de Control'!J$32</f>
        <v>323889184.07999998</v>
      </c>
      <c r="O60" s="31">
        <f>+'Tablero de Control'!K$32</f>
        <v>325889684.63999999</v>
      </c>
      <c r="P60" s="31">
        <f>+'Tablero de Control'!L$32</f>
        <v>327001087.31999993</v>
      </c>
    </row>
    <row r="61" spans="2:17" x14ac:dyDescent="0.25">
      <c r="B61" s="7" t="str">
        <f t="shared" si="27"/>
        <v>TRATAMIENTO</v>
      </c>
      <c r="C61" s="7" t="str">
        <f t="shared" si="27"/>
        <v>ACTIVO 4*</v>
      </c>
      <c r="D61" s="25">
        <f t="shared" si="27"/>
        <v>3</v>
      </c>
      <c r="E61" s="9">
        <v>1800000000</v>
      </c>
      <c r="F61" s="21">
        <f>+VLOOKUP(C61,'Tablero de Control'!$E$18:$I$24,4,FALSE)</f>
        <v>1800000000</v>
      </c>
      <c r="G61" s="31">
        <f>+'Tablero de Control'!C$32</f>
        <v>304749279.12</v>
      </c>
      <c r="H61" s="31">
        <f>+'Tablero de Control'!D$32</f>
        <v>310063070.75999999</v>
      </c>
      <c r="I61" s="31">
        <f>+'Tablero de Control'!E$32</f>
        <v>313111354.31999999</v>
      </c>
      <c r="J61" s="31">
        <f>+'Tablero de Control'!F$32</f>
        <v>316489046.99999994</v>
      </c>
      <c r="K61" s="31">
        <f>+'Tablero de Control'!G$32</f>
        <v>318866646.84000003</v>
      </c>
      <c r="L61" s="31">
        <f>+'Tablero de Control'!H$32</f>
        <v>320080372.08000004</v>
      </c>
      <c r="M61" s="31">
        <f>+'Tablero de Control'!I$32</f>
        <v>321828145.32000005</v>
      </c>
      <c r="N61" s="31">
        <f>+'Tablero de Control'!J$32</f>
        <v>323889184.07999998</v>
      </c>
      <c r="O61" s="31">
        <f>+'Tablero de Control'!K$32</f>
        <v>325889684.63999999</v>
      </c>
      <c r="P61" s="31">
        <f>+'Tablero de Control'!L$32</f>
        <v>327001087.31999993</v>
      </c>
    </row>
    <row r="62" spans="2:17" x14ac:dyDescent="0.25">
      <c r="B62" s="7" t="str">
        <f t="shared" si="27"/>
        <v xml:space="preserve">CONDUCCIÓN </v>
      </c>
      <c r="C62" s="7" t="str">
        <f t="shared" si="27"/>
        <v>ACTIVO 5</v>
      </c>
      <c r="D62" s="25">
        <f t="shared" si="27"/>
        <v>2</v>
      </c>
      <c r="E62" s="9">
        <v>8000000000</v>
      </c>
      <c r="F62" s="21">
        <f>+VLOOKUP(C62,'Tablero de Control'!$E$18:$I$24,4,FALSE)</f>
        <v>8000000000</v>
      </c>
      <c r="G62" s="31">
        <f>+'Tablero de Control'!C$32</f>
        <v>304749279.12</v>
      </c>
      <c r="H62" s="31">
        <f>+'Tablero de Control'!D$32</f>
        <v>310063070.75999999</v>
      </c>
      <c r="I62" s="31">
        <f>+'Tablero de Control'!E$32</f>
        <v>313111354.31999999</v>
      </c>
      <c r="J62" s="31">
        <f>+'Tablero de Control'!F$32</f>
        <v>316489046.99999994</v>
      </c>
      <c r="K62" s="31">
        <f>+'Tablero de Control'!G$32</f>
        <v>318866646.84000003</v>
      </c>
      <c r="L62" s="31">
        <f>+'Tablero de Control'!H$32</f>
        <v>320080372.08000004</v>
      </c>
      <c r="M62" s="31">
        <f>+'Tablero de Control'!I$32</f>
        <v>321828145.32000005</v>
      </c>
      <c r="N62" s="31">
        <f>+'Tablero de Control'!J$32</f>
        <v>323889184.07999998</v>
      </c>
      <c r="O62" s="31">
        <f>+'Tablero de Control'!K$32</f>
        <v>325889684.63999999</v>
      </c>
      <c r="P62" s="31">
        <f>+'Tablero de Control'!L$32</f>
        <v>327001087.31999993</v>
      </c>
    </row>
    <row r="63" spans="2:17" x14ac:dyDescent="0.25">
      <c r="B63" s="7" t="str">
        <f t="shared" si="27"/>
        <v>ELEVACIÓN Y BOMBEO</v>
      </c>
      <c r="C63" s="7" t="str">
        <f t="shared" si="27"/>
        <v>ACTIVO 6</v>
      </c>
      <c r="D63" s="25">
        <f t="shared" si="27"/>
        <v>2</v>
      </c>
      <c r="E63" s="9">
        <v>2500000000</v>
      </c>
      <c r="F63" s="21">
        <f>+VLOOKUP(C63,'Tablero de Control'!$E$18:$I$24,4,FALSE)</f>
        <v>2500000000</v>
      </c>
      <c r="G63" s="31">
        <f>+'Tablero de Control'!C$32</f>
        <v>304749279.12</v>
      </c>
      <c r="H63" s="31">
        <f>+'Tablero de Control'!D$32</f>
        <v>310063070.75999999</v>
      </c>
      <c r="I63" s="31">
        <f>+'Tablero de Control'!E$32</f>
        <v>313111354.31999999</v>
      </c>
      <c r="J63" s="31">
        <f>+'Tablero de Control'!F$32</f>
        <v>316489046.99999994</v>
      </c>
      <c r="K63" s="31">
        <f>+'Tablero de Control'!G$32</f>
        <v>318866646.84000003</v>
      </c>
      <c r="L63" s="31">
        <f>+'Tablero de Control'!H$32</f>
        <v>320080372.08000004</v>
      </c>
      <c r="M63" s="31">
        <f>+'Tablero de Control'!I$32</f>
        <v>321828145.32000005</v>
      </c>
      <c r="N63" s="31">
        <f>+'Tablero de Control'!J$32</f>
        <v>323889184.07999998</v>
      </c>
      <c r="O63" s="31">
        <f>+'Tablero de Control'!K$32</f>
        <v>325889684.63999999</v>
      </c>
      <c r="P63" s="31">
        <f>+'Tablero de Control'!L$32</f>
        <v>327001087.31999993</v>
      </c>
    </row>
    <row r="64" spans="2:17" x14ac:dyDescent="0.25">
      <c r="B64" s="7" t="str">
        <f t="shared" si="27"/>
        <v>DISPOSICIÓN FINAL</v>
      </c>
      <c r="C64" s="7" t="str">
        <f t="shared" si="27"/>
        <v>ACTIVO 7</v>
      </c>
      <c r="D64" s="25">
        <f t="shared" si="27"/>
        <v>8</v>
      </c>
      <c r="E64" s="9">
        <v>3000000000</v>
      </c>
      <c r="F64" s="21">
        <f>+VLOOKUP(C64,'Tablero de Control'!$E$18:$I$24,4,FALSE)</f>
        <v>3000000000</v>
      </c>
      <c r="G64" s="31">
        <f>+'Tablero de Control'!C$32</f>
        <v>304749279.12</v>
      </c>
      <c r="H64" s="31">
        <f>+'Tablero de Control'!D$32</f>
        <v>310063070.75999999</v>
      </c>
      <c r="I64" s="31">
        <f>+'Tablero de Control'!E$32</f>
        <v>313111354.31999999</v>
      </c>
      <c r="J64" s="31">
        <f>+'Tablero de Control'!F$32</f>
        <v>316489046.99999994</v>
      </c>
      <c r="K64" s="31">
        <f>+'Tablero de Control'!G$32</f>
        <v>318866646.84000003</v>
      </c>
      <c r="L64" s="31">
        <f>+'Tablero de Control'!H$32</f>
        <v>320080372.08000004</v>
      </c>
      <c r="M64" s="31">
        <f>+'Tablero de Control'!I$32</f>
        <v>321828145.32000005</v>
      </c>
      <c r="N64" s="31">
        <f>+'Tablero de Control'!J$32</f>
        <v>323889184.07999998</v>
      </c>
      <c r="O64" s="31">
        <f>+'Tablero de Control'!K$32</f>
        <v>325889684.63999999</v>
      </c>
      <c r="P64" s="31">
        <f>+'Tablero de Control'!L$32</f>
        <v>327001087.31999993</v>
      </c>
    </row>
    <row r="66" spans="2:9" ht="20.399999999999999" thickBot="1" x14ac:dyDescent="0.45">
      <c r="B66" s="33" t="s">
        <v>59</v>
      </c>
      <c r="C66" s="33"/>
      <c r="D66" s="33"/>
      <c r="E66" s="33"/>
      <c r="F66" s="33"/>
      <c r="G66" s="33"/>
    </row>
    <row r="67" spans="2:9" ht="13.8" thickTop="1" x14ac:dyDescent="0.25"/>
    <row r="68" spans="2:9" ht="39.6" x14ac:dyDescent="0.25">
      <c r="B68" s="6" t="str">
        <f>+B57</f>
        <v>Actividad del activo j</v>
      </c>
      <c r="C68" s="6" t="str">
        <f t="shared" ref="C68:E69" si="28">+C57</f>
        <v>Identificación del activo</v>
      </c>
      <c r="D68" s="6" t="str">
        <f t="shared" si="28"/>
        <v>Año planeado</v>
      </c>
      <c r="E68" s="6" t="str">
        <f t="shared" si="28"/>
        <v>Valor POIR planeado del activo j</v>
      </c>
      <c r="F68" s="6" t="str">
        <f>+F57</f>
        <v>Vida Útil</v>
      </c>
      <c r="G68" s="6" t="s">
        <v>28</v>
      </c>
      <c r="H68" s="6" t="s">
        <v>29</v>
      </c>
      <c r="I68" s="6" t="s">
        <v>53</v>
      </c>
    </row>
    <row r="69" spans="2:9" x14ac:dyDescent="0.25">
      <c r="B69" s="7" t="str">
        <f>+B58</f>
        <v>CAPTACIÓN</v>
      </c>
      <c r="C69" s="7" t="str">
        <f t="shared" si="28"/>
        <v>ACTIVO 1</v>
      </c>
      <c r="D69" s="7">
        <f t="shared" si="28"/>
        <v>2</v>
      </c>
      <c r="E69" s="9">
        <v>1000000000</v>
      </c>
      <c r="F69" s="21">
        <f>+VLOOKUP(C69,'Tablero de Control'!$E$18:$I$24,4,FALSE)</f>
        <v>1100000000</v>
      </c>
      <c r="G69" s="32">
        <f>+NPV($C$8,H47:Q47)</f>
        <v>604104317.83897865</v>
      </c>
      <c r="H69" s="32">
        <f>+NPV($C$8,G58:P58)</f>
        <v>1765026821.5542903</v>
      </c>
      <c r="I69" s="34">
        <f>+G69/H69</f>
        <v>0.34226353416374816</v>
      </c>
    </row>
    <row r="70" spans="2:9" x14ac:dyDescent="0.25">
      <c r="B70" s="7" t="str">
        <f t="shared" ref="B70:D75" si="29">+B59</f>
        <v xml:space="preserve">ADUCCIÓN </v>
      </c>
      <c r="C70" s="7" t="str">
        <f t="shared" si="29"/>
        <v>ACTIVO 2</v>
      </c>
      <c r="D70" s="7">
        <f t="shared" si="29"/>
        <v>5</v>
      </c>
      <c r="E70" s="9">
        <v>1634066142.1486995</v>
      </c>
      <c r="F70" s="21">
        <f>+VLOOKUP(C70,'Tablero de Control'!$E$18:$I$24,4,FALSE)</f>
        <v>1500000000</v>
      </c>
      <c r="G70" s="32">
        <f t="shared" ref="G70:G75" si="30">+NPV($C$8,H48:Q48)</f>
        <v>718356873.11450529</v>
      </c>
      <c r="H70" s="32">
        <f t="shared" ref="H70:H75" si="31">+NPV($C$8,G59:P59)</f>
        <v>1765026821.5542903</v>
      </c>
      <c r="I70" s="34">
        <f t="shared" ref="I70:I75" si="32">+G70/H70</f>
        <v>0.40699487641888471</v>
      </c>
    </row>
    <row r="71" spans="2:9" x14ac:dyDescent="0.25">
      <c r="B71" s="7" t="str">
        <f t="shared" si="29"/>
        <v>PRETRATAMIENTO</v>
      </c>
      <c r="C71" s="7" t="str">
        <f t="shared" si="29"/>
        <v>ACTIVO 3</v>
      </c>
      <c r="D71" s="7">
        <f t="shared" si="29"/>
        <v>4</v>
      </c>
      <c r="E71" s="9">
        <v>2000000000</v>
      </c>
      <c r="F71" s="21">
        <f>+VLOOKUP(C71,'Tablero de Control'!$E$18:$I$24,4,FALSE)</f>
        <v>2000000000</v>
      </c>
      <c r="G71" s="32">
        <f t="shared" si="30"/>
        <v>1001804585.248089</v>
      </c>
      <c r="H71" s="32">
        <f t="shared" si="31"/>
        <v>1765026821.5542903</v>
      </c>
      <c r="I71" s="34">
        <f t="shared" si="32"/>
        <v>0.56758604062792395</v>
      </c>
    </row>
    <row r="72" spans="2:9" x14ac:dyDescent="0.25">
      <c r="B72" s="7" t="str">
        <f t="shared" si="29"/>
        <v>TRATAMIENTO</v>
      </c>
      <c r="C72" s="7" t="str">
        <f t="shared" si="29"/>
        <v>ACTIVO 4*</v>
      </c>
      <c r="D72" s="7">
        <f t="shared" si="29"/>
        <v>3</v>
      </c>
      <c r="E72" s="9">
        <v>1800000000</v>
      </c>
      <c r="F72" s="21">
        <f>+VLOOKUP(C72,'Tablero de Control'!$E$18:$I$24,4,FALSE)</f>
        <v>1800000000</v>
      </c>
      <c r="G72" s="32">
        <f t="shared" si="30"/>
        <v>999878987.81780922</v>
      </c>
      <c r="H72" s="32">
        <f t="shared" si="31"/>
        <v>1765026821.5542903</v>
      </c>
      <c r="I72" s="34">
        <f t="shared" si="32"/>
        <v>0.5664950671612522</v>
      </c>
    </row>
    <row r="73" spans="2:9" x14ac:dyDescent="0.25">
      <c r="B73" s="7" t="str">
        <f t="shared" si="29"/>
        <v xml:space="preserve">CONDUCCIÓN </v>
      </c>
      <c r="C73" s="7" t="str">
        <f t="shared" si="29"/>
        <v>ACTIVO 5</v>
      </c>
      <c r="D73" s="7">
        <f t="shared" si="29"/>
        <v>2</v>
      </c>
      <c r="E73" s="9">
        <v>8000000000</v>
      </c>
      <c r="F73" s="21">
        <f>+VLOOKUP(C73,'Tablero de Control'!$E$18:$I$24,4,FALSE)</f>
        <v>8000000000</v>
      </c>
      <c r="G73" s="32">
        <f t="shared" si="30"/>
        <v>4832834522.8450642</v>
      </c>
      <c r="H73" s="32">
        <f t="shared" si="31"/>
        <v>1765026821.5542903</v>
      </c>
      <c r="I73" s="34">
        <f t="shared" si="32"/>
        <v>2.7381082620541988</v>
      </c>
    </row>
    <row r="74" spans="2:9" x14ac:dyDescent="0.25">
      <c r="B74" s="7" t="str">
        <f t="shared" si="29"/>
        <v>ELEVACIÓN Y BOMBEO</v>
      </c>
      <c r="C74" s="7" t="str">
        <f t="shared" si="29"/>
        <v>ACTIVO 6</v>
      </c>
      <c r="D74" s="7">
        <f t="shared" si="29"/>
        <v>2</v>
      </c>
      <c r="E74" s="9">
        <v>2500000000</v>
      </c>
      <c r="F74" s="21">
        <f>+VLOOKUP(C74,'Tablero de Control'!$E$18:$I$24,4,FALSE)</f>
        <v>2500000000</v>
      </c>
      <c r="G74" s="32">
        <f t="shared" si="30"/>
        <v>1510260790.5665088</v>
      </c>
      <c r="H74" s="32">
        <f t="shared" si="31"/>
        <v>1765026821.5542903</v>
      </c>
      <c r="I74" s="34">
        <f t="shared" si="32"/>
        <v>0.85565883312558766</v>
      </c>
    </row>
    <row r="75" spans="2:9" x14ac:dyDescent="0.25">
      <c r="B75" s="7" t="str">
        <f t="shared" si="29"/>
        <v>DISPOSICIÓN FINAL</v>
      </c>
      <c r="C75" s="7" t="str">
        <f t="shared" si="29"/>
        <v>ACTIVO 7</v>
      </c>
      <c r="D75" s="7">
        <f t="shared" si="29"/>
        <v>8</v>
      </c>
      <c r="E75" s="9">
        <v>3000000000</v>
      </c>
      <c r="F75" s="21">
        <f>+VLOOKUP(C75,'Tablero de Control'!$E$18:$I$24,4,FALSE)</f>
        <v>3000000000</v>
      </c>
      <c r="G75" s="32">
        <f t="shared" si="30"/>
        <v>620331583.94918096</v>
      </c>
      <c r="H75" s="32">
        <f t="shared" si="31"/>
        <v>1765026821.5542903</v>
      </c>
      <c r="I75" s="34">
        <f t="shared" si="32"/>
        <v>0.35145731292792154</v>
      </c>
    </row>
    <row r="77" spans="2:9" x14ac:dyDescent="0.25">
      <c r="G77" s="4"/>
      <c r="H77" s="4"/>
      <c r="I77" s="4"/>
    </row>
    <row r="79" spans="2:9" x14ac:dyDescent="0.25">
      <c r="G79" s="4">
        <f>+SUM(G69:G75)</f>
        <v>10287571661.380136</v>
      </c>
      <c r="H79" s="4">
        <f t="shared" ref="H79:I79" si="33">+SUM(H69:H75)</f>
        <v>12355187750.880033</v>
      </c>
      <c r="I79" s="4">
        <f t="shared" si="33"/>
        <v>5.8285639264795179</v>
      </c>
    </row>
    <row r="80" spans="2:9" x14ac:dyDescent="0.25">
      <c r="G80" s="4">
        <v>11839178461.643732</v>
      </c>
      <c r="H80" s="4">
        <v>12355187750.880033</v>
      </c>
      <c r="I80" s="4">
        <v>6.7076479048732525</v>
      </c>
    </row>
  </sheetData>
  <mergeCells count="1">
    <mergeCell ref="B2:M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'Tablero de Control'!$C$10:$C$11</xm:f>
          </x14:formula1>
          <xm:sqref>C6 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Nota Aclaratoria</vt:lpstr>
      <vt:lpstr>Tablero de Control</vt:lpstr>
      <vt:lpstr>CMI POIR planeado</vt:lpstr>
      <vt:lpstr>CMI POIR actualizado</vt:lpstr>
      <vt:lpstr>CMI POIR ejecutado</vt:lpstr>
      <vt:lpstr>PI 5</vt:lpstr>
      <vt:lpstr>Índices de Actualización</vt:lpstr>
      <vt:lpstr>Control VP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Vargas Torres</dc:creator>
  <cp:lastModifiedBy>juan leonardi ramirez granados</cp:lastModifiedBy>
  <dcterms:created xsi:type="dcterms:W3CDTF">2020-06-17T15:31:19Z</dcterms:created>
  <dcterms:modified xsi:type="dcterms:W3CDTF">2021-01-20T17:38:31Z</dcterms:modified>
</cp:coreProperties>
</file>